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BDE\Desktop\УАТ\УАТ от Паши\КАО Азот\Тарифы\2023\для мельникова\"/>
    </mc:Choice>
  </mc:AlternateContent>
  <bookViews>
    <workbookView xWindow="0" yWindow="0" windowWidth="15345" windowHeight="6705" firstSheet="3" activeTab="3"/>
  </bookViews>
  <sheets>
    <sheet name="ИТОГ" sheetId="4" state="hidden" r:id="rId1"/>
    <sheet name="Лист1" sheetId="5" state="hidden" r:id="rId2"/>
    <sheet name="Прайс 2022 (ЦПЗ) (2)" sheetId="7" state="hidden" r:id="rId3"/>
    <sheet name="ИТОГ ПЕЧАТЬ" sheetId="9" r:id="rId4"/>
  </sheets>
  <externalReferences>
    <externalReference r:id="rId5"/>
    <externalReference r:id="rId6"/>
    <externalReference r:id="rId7"/>
  </externalReferences>
  <definedNames>
    <definedName name="_xlnm._FilterDatabase" localSheetId="0" hidden="1">ИТОГ!$B$11:$D$105</definedName>
    <definedName name="_xlnm._FilterDatabase" localSheetId="3" hidden="1">'ИТОГ ПЕЧАТЬ'!$B$11:$D$105</definedName>
    <definedName name="_xlnm._FilterDatabase" localSheetId="2" hidden="1">'Прайс 2022 (ЦПЗ) (2)'!$A$9:$Z$101</definedName>
    <definedName name="_xlnm.Print_Titles" localSheetId="0">ИТОГ!$11:$11</definedName>
    <definedName name="_xlnm.Print_Titles" localSheetId="3">'ИТОГ ПЕЧАТЬ'!$11:$11</definedName>
    <definedName name="_xlnm.Print_Titles" localSheetId="2">'Прайс 2022 (ЦПЗ) (2)'!$9:$10</definedName>
    <definedName name="Заказчики" localSheetId="3">#REF!</definedName>
    <definedName name="Заказчики" localSheetId="2">#REF!</definedName>
    <definedName name="Заказчики">#REF!</definedName>
    <definedName name="_xlnm.Print_Area" localSheetId="3">'ИТОГ ПЕЧАТЬ'!$B$1:$D$106</definedName>
    <definedName name="_xlnm.Print_Area" localSheetId="2">'Прайс 2022 (ЦПЗ) (2)'!$C$5:$AO$104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6" i="7" l="1"/>
  <c r="U9" i="7" s="1"/>
  <c r="X6" i="7"/>
  <c r="W9" i="7" s="1"/>
  <c r="Z6" i="7"/>
  <c r="Y9" i="7" s="1"/>
  <c r="AB9" i="7"/>
  <c r="AD9" i="7"/>
  <c r="E12" i="7"/>
  <c r="F12" i="7"/>
  <c r="G12" i="7"/>
  <c r="H12" i="7"/>
  <c r="I12" i="7" s="1"/>
  <c r="J12" i="7"/>
  <c r="K12" i="7"/>
  <c r="L12" i="7"/>
  <c r="N12" i="7"/>
  <c r="O12" i="7"/>
  <c r="P12" i="7"/>
  <c r="Q12" i="7" s="1"/>
  <c r="R12" i="7"/>
  <c r="AH12" i="7"/>
  <c r="AI12" i="7"/>
  <c r="E13" i="7"/>
  <c r="F13" i="7"/>
  <c r="G13" i="7"/>
  <c r="H13" i="7"/>
  <c r="I13" i="7" s="1"/>
  <c r="J13" i="7"/>
  <c r="K13" i="7"/>
  <c r="L13" i="7"/>
  <c r="N13" i="7"/>
  <c r="O13" i="7"/>
  <c r="S13" i="7" s="1"/>
  <c r="P13" i="7"/>
  <c r="Q13" i="7" s="1"/>
  <c r="R13" i="7"/>
  <c r="AH13" i="7"/>
  <c r="AI13" i="7"/>
  <c r="E14" i="7"/>
  <c r="F14" i="7"/>
  <c r="G14" i="7"/>
  <c r="H14" i="7"/>
  <c r="J14" i="7"/>
  <c r="J15" i="7" s="1"/>
  <c r="J20" i="7" s="1"/>
  <c r="K14" i="7"/>
  <c r="K15" i="7" s="1"/>
  <c r="K20" i="7" s="1"/>
  <c r="L14" i="7"/>
  <c r="L15" i="7" s="1"/>
  <c r="L20" i="7" s="1"/>
  <c r="N14" i="7"/>
  <c r="N15" i="7" s="1"/>
  <c r="N20" i="7" s="1"/>
  <c r="O14" i="7"/>
  <c r="O15" i="7" s="1"/>
  <c r="P14" i="7"/>
  <c r="P15" i="7" s="1"/>
  <c r="R14" i="7"/>
  <c r="R15" i="7" s="1"/>
  <c r="R20" i="7" s="1"/>
  <c r="AH14" i="7"/>
  <c r="AI14" i="7"/>
  <c r="E15" i="7"/>
  <c r="F15" i="7"/>
  <c r="G15" i="7"/>
  <c r="AH15" i="7"/>
  <c r="AI15" i="7"/>
  <c r="E16" i="7"/>
  <c r="F16" i="7"/>
  <c r="G16" i="7"/>
  <c r="J16" i="7"/>
  <c r="K16" i="7"/>
  <c r="K17" i="7" s="1"/>
  <c r="L16" i="7"/>
  <c r="L17" i="7" s="1"/>
  <c r="N16" i="7"/>
  <c r="N17" i="7" s="1"/>
  <c r="O16" i="7"/>
  <c r="P16" i="7"/>
  <c r="R16" i="7"/>
  <c r="R17" i="7" s="1"/>
  <c r="AH16" i="7"/>
  <c r="AI16" i="7"/>
  <c r="E17" i="7"/>
  <c r="F17" i="7"/>
  <c r="G17" i="7"/>
  <c r="J17" i="7"/>
  <c r="O17" i="7"/>
  <c r="AH17" i="7"/>
  <c r="AI17" i="7"/>
  <c r="E18" i="7"/>
  <c r="F18" i="7"/>
  <c r="G18" i="7"/>
  <c r="H18" i="7"/>
  <c r="I18" i="7" s="1"/>
  <c r="J18" i="7"/>
  <c r="K18" i="7"/>
  <c r="L18" i="7"/>
  <c r="N18" i="7"/>
  <c r="O18" i="7"/>
  <c r="P18" i="7"/>
  <c r="Q18" i="7" s="1"/>
  <c r="S18" i="7" s="1"/>
  <c r="R18" i="7"/>
  <c r="AH18" i="7"/>
  <c r="AI18" i="7"/>
  <c r="E19" i="7"/>
  <c r="F19" i="7"/>
  <c r="G19" i="7"/>
  <c r="H19" i="7"/>
  <c r="I19" i="7"/>
  <c r="J19" i="7"/>
  <c r="K19" i="7"/>
  <c r="L19" i="7"/>
  <c r="N19" i="7"/>
  <c r="O19" i="7"/>
  <c r="P19" i="7"/>
  <c r="Q19" i="7" s="1"/>
  <c r="R19" i="7"/>
  <c r="E20" i="7"/>
  <c r="F20" i="7"/>
  <c r="G20" i="7"/>
  <c r="AH20" i="7"/>
  <c r="AI20" i="7"/>
  <c r="E21" i="7"/>
  <c r="F21" i="7"/>
  <c r="G21" i="7"/>
  <c r="H21" i="7"/>
  <c r="I21" i="7" s="1"/>
  <c r="J21" i="7"/>
  <c r="K21" i="7"/>
  <c r="L21" i="7"/>
  <c r="N21" i="7"/>
  <c r="O21" i="7"/>
  <c r="P21" i="7"/>
  <c r="Q21" i="7" s="1"/>
  <c r="R21" i="7"/>
  <c r="AH21" i="7"/>
  <c r="AI21" i="7"/>
  <c r="E22" i="7"/>
  <c r="F22" i="7"/>
  <c r="G22" i="7"/>
  <c r="H22" i="7"/>
  <c r="I22" i="7" s="1"/>
  <c r="J22" i="7"/>
  <c r="K22" i="7"/>
  <c r="L22" i="7"/>
  <c r="N22" i="7"/>
  <c r="O22" i="7"/>
  <c r="P22" i="7"/>
  <c r="Q22" i="7" s="1"/>
  <c r="R22" i="7"/>
  <c r="AH22" i="7"/>
  <c r="AI22" i="7"/>
  <c r="E23" i="7"/>
  <c r="F23" i="7"/>
  <c r="G23" i="7"/>
  <c r="H23" i="7"/>
  <c r="J23" i="7"/>
  <c r="K23" i="7"/>
  <c r="L23" i="7"/>
  <c r="N23" i="7"/>
  <c r="O23" i="7"/>
  <c r="P23" i="7"/>
  <c r="Q23" i="7" s="1"/>
  <c r="S23" i="7" s="1"/>
  <c r="R23" i="7"/>
  <c r="E24" i="7"/>
  <c r="F24" i="7"/>
  <c r="G24" i="7"/>
  <c r="H24" i="7"/>
  <c r="I24" i="7" s="1"/>
  <c r="J24" i="7"/>
  <c r="K24" i="7"/>
  <c r="L24" i="7"/>
  <c r="N24" i="7"/>
  <c r="O24" i="7"/>
  <c r="P24" i="7"/>
  <c r="Q24" i="7" s="1"/>
  <c r="R24" i="7"/>
  <c r="AH24" i="7"/>
  <c r="AI24" i="7"/>
  <c r="E25" i="7"/>
  <c r="F25" i="7"/>
  <c r="G25" i="7"/>
  <c r="H25" i="7"/>
  <c r="I25" i="7"/>
  <c r="J25" i="7"/>
  <c r="K25" i="7"/>
  <c r="L25" i="7"/>
  <c r="N25" i="7"/>
  <c r="O25" i="7"/>
  <c r="P25" i="7"/>
  <c r="Q25" i="7" s="1"/>
  <c r="R25" i="7"/>
  <c r="AH25" i="7"/>
  <c r="AI25" i="7"/>
  <c r="E26" i="7"/>
  <c r="F26" i="7"/>
  <c r="G26" i="7"/>
  <c r="H26" i="7"/>
  <c r="J26" i="7"/>
  <c r="K26" i="7"/>
  <c r="L26" i="7"/>
  <c r="N26" i="7"/>
  <c r="O26" i="7"/>
  <c r="P26" i="7"/>
  <c r="Q26" i="7"/>
  <c r="R26" i="7"/>
  <c r="AH26" i="7"/>
  <c r="AI26" i="7"/>
  <c r="E27" i="7"/>
  <c r="F27" i="7"/>
  <c r="G27" i="7"/>
  <c r="H27" i="7"/>
  <c r="I27" i="7"/>
  <c r="J27" i="7"/>
  <c r="K27" i="7"/>
  <c r="L27" i="7"/>
  <c r="N27" i="7"/>
  <c r="O27" i="7"/>
  <c r="P27" i="7"/>
  <c r="Q27" i="7" s="1"/>
  <c r="R27" i="7"/>
  <c r="AH27" i="7"/>
  <c r="AI27" i="7"/>
  <c r="E28" i="7"/>
  <c r="F28" i="7"/>
  <c r="G28" i="7"/>
  <c r="AH28" i="7"/>
  <c r="AI28" i="7"/>
  <c r="G29" i="7"/>
  <c r="AH29" i="7"/>
  <c r="AI29" i="7"/>
  <c r="AB30" i="7"/>
  <c r="AC30" i="7"/>
  <c r="AD30" i="7"/>
  <c r="AE30" i="7"/>
  <c r="AB31" i="7"/>
  <c r="AC31" i="7"/>
  <c r="AD31" i="7"/>
  <c r="AE31" i="7"/>
  <c r="C32" i="7"/>
  <c r="D32" i="7"/>
  <c r="F32" i="7" s="1"/>
  <c r="H32" i="7"/>
  <c r="I32" i="7" s="1"/>
  <c r="M32" i="7" s="1"/>
  <c r="J32" i="7"/>
  <c r="K32" i="7"/>
  <c r="L32" i="7"/>
  <c r="N32" i="7"/>
  <c r="O32" i="7"/>
  <c r="P32" i="7"/>
  <c r="Q32" i="7" s="1"/>
  <c r="R32" i="7"/>
  <c r="AH32" i="7"/>
  <c r="AI32" i="7"/>
  <c r="E33" i="7"/>
  <c r="F33" i="7"/>
  <c r="G33" i="7"/>
  <c r="H33" i="7"/>
  <c r="I33" i="7"/>
  <c r="Q33" i="7"/>
  <c r="S33" i="7" s="1"/>
  <c r="AH33" i="7"/>
  <c r="AI33" i="7"/>
  <c r="H34" i="7"/>
  <c r="I34" i="7" s="1"/>
  <c r="M34" i="7" s="1"/>
  <c r="W34" i="7" s="1"/>
  <c r="AD34" i="7" s="1"/>
  <c r="Q34" i="7"/>
  <c r="S34" i="7" s="1"/>
  <c r="AH34" i="7"/>
  <c r="AI34" i="7"/>
  <c r="H35" i="7"/>
  <c r="I35" i="7" s="1"/>
  <c r="Q35" i="7"/>
  <c r="S35" i="7" s="1"/>
  <c r="AH35" i="7"/>
  <c r="AI35" i="7"/>
  <c r="H36" i="7"/>
  <c r="Q36" i="7"/>
  <c r="S36" i="7" s="1"/>
  <c r="AH36" i="7"/>
  <c r="AI36" i="7"/>
  <c r="E37" i="7"/>
  <c r="F37" i="7"/>
  <c r="G37" i="7"/>
  <c r="J37" i="7"/>
  <c r="K37" i="7"/>
  <c r="L37" i="7"/>
  <c r="N37" i="7"/>
  <c r="O37" i="7"/>
  <c r="P37" i="7"/>
  <c r="Q37" i="7"/>
  <c r="S37" i="7" s="1"/>
  <c r="R37" i="7"/>
  <c r="AH37" i="7"/>
  <c r="AI37" i="7"/>
  <c r="E38" i="7"/>
  <c r="F38" i="7"/>
  <c r="G38" i="7"/>
  <c r="H38" i="7"/>
  <c r="Q38" i="7"/>
  <c r="S38" i="7" s="1"/>
  <c r="AH38" i="7"/>
  <c r="AI38" i="7"/>
  <c r="E39" i="7"/>
  <c r="F39" i="7"/>
  <c r="H39" i="7"/>
  <c r="H16" i="7" s="1"/>
  <c r="H17" i="7" s="1"/>
  <c r="Q39" i="7"/>
  <c r="S39" i="7" s="1"/>
  <c r="AH39" i="7"/>
  <c r="AI39" i="7"/>
  <c r="E40" i="7"/>
  <c r="F40" i="7"/>
  <c r="H40" i="7"/>
  <c r="H42" i="7" s="1"/>
  <c r="I42" i="7" s="1"/>
  <c r="M42" i="7" s="1"/>
  <c r="Q40" i="7"/>
  <c r="S40" i="7" s="1"/>
  <c r="AH40" i="7"/>
  <c r="AI40" i="7"/>
  <c r="E41" i="7"/>
  <c r="F41" i="7"/>
  <c r="G41" i="7"/>
  <c r="J41" i="7"/>
  <c r="K41" i="7"/>
  <c r="L41" i="7"/>
  <c r="N41" i="7"/>
  <c r="O41" i="7"/>
  <c r="P41" i="7"/>
  <c r="Q41" i="7" s="1"/>
  <c r="R41" i="7"/>
  <c r="E42" i="7"/>
  <c r="F42" i="7"/>
  <c r="G42" i="7"/>
  <c r="J42" i="7"/>
  <c r="K42" i="7"/>
  <c r="L42" i="7"/>
  <c r="N42" i="7"/>
  <c r="O42" i="7"/>
  <c r="P42" i="7"/>
  <c r="Q42" i="7" s="1"/>
  <c r="R42" i="7"/>
  <c r="AH42" i="7"/>
  <c r="AI42" i="7"/>
  <c r="E43" i="7"/>
  <c r="F43" i="7"/>
  <c r="G43" i="7"/>
  <c r="H43" i="7"/>
  <c r="I43" i="7" s="1"/>
  <c r="M43" i="7" s="1"/>
  <c r="Q43" i="7"/>
  <c r="S43" i="7" s="1"/>
  <c r="AH43" i="7"/>
  <c r="AI43" i="7"/>
  <c r="E44" i="7"/>
  <c r="F44" i="7"/>
  <c r="G44" i="7"/>
  <c r="H44" i="7"/>
  <c r="I44" i="7" s="1"/>
  <c r="M44" i="7" s="1"/>
  <c r="Q44" i="7"/>
  <c r="S44" i="7"/>
  <c r="X44" i="7" s="1"/>
  <c r="AE44" i="7" s="1"/>
  <c r="AH44" i="7"/>
  <c r="AI44" i="7"/>
  <c r="E45" i="7"/>
  <c r="F45" i="7"/>
  <c r="G45" i="7"/>
  <c r="J45" i="7"/>
  <c r="K45" i="7"/>
  <c r="L45" i="7"/>
  <c r="N45" i="7"/>
  <c r="O45" i="7"/>
  <c r="P45" i="7"/>
  <c r="R45" i="7"/>
  <c r="AH45" i="7"/>
  <c r="AI45" i="7"/>
  <c r="E46" i="7"/>
  <c r="F46" i="7"/>
  <c r="G46" i="7"/>
  <c r="J46" i="7"/>
  <c r="J47" i="7" s="1"/>
  <c r="K46" i="7"/>
  <c r="L46" i="7"/>
  <c r="N46" i="7"/>
  <c r="O46" i="7"/>
  <c r="S46" i="7" s="1"/>
  <c r="P46" i="7"/>
  <c r="P47" i="7" s="1"/>
  <c r="Q47" i="7" s="1"/>
  <c r="Q46" i="7"/>
  <c r="R46" i="7"/>
  <c r="AH46" i="7"/>
  <c r="AI46" i="7"/>
  <c r="E47" i="7"/>
  <c r="F47" i="7"/>
  <c r="G47" i="7"/>
  <c r="K47" i="7"/>
  <c r="L47" i="7"/>
  <c r="N47" i="7"/>
  <c r="R47" i="7"/>
  <c r="AH47" i="7"/>
  <c r="AI47" i="7"/>
  <c r="E48" i="7"/>
  <c r="F48" i="7"/>
  <c r="G48" i="7"/>
  <c r="J48" i="7"/>
  <c r="K48" i="7"/>
  <c r="L48" i="7"/>
  <c r="N48" i="7"/>
  <c r="O48" i="7"/>
  <c r="P48" i="7"/>
  <c r="R48" i="7"/>
  <c r="AH48" i="7"/>
  <c r="AI48" i="7"/>
  <c r="E49" i="7"/>
  <c r="F49" i="7"/>
  <c r="G49" i="7"/>
  <c r="H49" i="7"/>
  <c r="Q49" i="7"/>
  <c r="S49" i="7" s="1"/>
  <c r="AH49" i="7"/>
  <c r="AI49" i="7"/>
  <c r="E50" i="7"/>
  <c r="F50" i="7"/>
  <c r="G50" i="7"/>
  <c r="Q50" i="7"/>
  <c r="S50" i="7"/>
  <c r="AH50" i="7"/>
  <c r="AI50" i="7"/>
  <c r="E51" i="7"/>
  <c r="F51" i="7"/>
  <c r="G51" i="7"/>
  <c r="H51" i="7"/>
  <c r="I51" i="7" s="1"/>
  <c r="Q51" i="7"/>
  <c r="S51" i="7" s="1"/>
  <c r="AH51" i="7"/>
  <c r="AI51" i="7"/>
  <c r="E52" i="7"/>
  <c r="F52" i="7"/>
  <c r="G52" i="7"/>
  <c r="H52" i="7"/>
  <c r="H45" i="7" s="1"/>
  <c r="Q52" i="7"/>
  <c r="S52" i="7"/>
  <c r="Z52" i="7" s="1"/>
  <c r="AG52" i="7" s="1"/>
  <c r="AK52" i="7" s="1"/>
  <c r="AH52" i="7"/>
  <c r="AI52" i="7"/>
  <c r="E53" i="7"/>
  <c r="F53" i="7"/>
  <c r="G53" i="7"/>
  <c r="H53" i="7"/>
  <c r="I53" i="7"/>
  <c r="M53" i="7" s="1"/>
  <c r="Q53" i="7"/>
  <c r="S53" i="7" s="1"/>
  <c r="W53" i="7"/>
  <c r="AD53" i="7" s="1"/>
  <c r="AH53" i="7"/>
  <c r="AI53" i="7"/>
  <c r="E54" i="7"/>
  <c r="F54" i="7"/>
  <c r="G54" i="7"/>
  <c r="H54" i="7"/>
  <c r="I54" i="7" s="1"/>
  <c r="M54" i="7" s="1"/>
  <c r="Q54" i="7"/>
  <c r="S54" i="7"/>
  <c r="AH54" i="7"/>
  <c r="AI54" i="7"/>
  <c r="E55" i="7"/>
  <c r="F55" i="7"/>
  <c r="G55" i="7"/>
  <c r="H55" i="7"/>
  <c r="I55" i="7" s="1"/>
  <c r="Q55" i="7"/>
  <c r="S55" i="7" s="1"/>
  <c r="AH55" i="7"/>
  <c r="AI55" i="7"/>
  <c r="AB56" i="7"/>
  <c r="AC56" i="7"/>
  <c r="AD56" i="7"/>
  <c r="AE56" i="7"/>
  <c r="AB57" i="7"/>
  <c r="AC57" i="7"/>
  <c r="AD57" i="7"/>
  <c r="AE57" i="7"/>
  <c r="E58" i="7"/>
  <c r="F58" i="7"/>
  <c r="G58" i="7"/>
  <c r="H58" i="7"/>
  <c r="I58" i="7" s="1"/>
  <c r="J58" i="7"/>
  <c r="K58" i="7"/>
  <c r="L58" i="7"/>
  <c r="N58" i="7"/>
  <c r="O58" i="7"/>
  <c r="P58" i="7"/>
  <c r="Q58" i="7" s="1"/>
  <c r="R58" i="7"/>
  <c r="AH58" i="7"/>
  <c r="AI58" i="7"/>
  <c r="E59" i="7"/>
  <c r="F59" i="7"/>
  <c r="G59" i="7"/>
  <c r="H59" i="7"/>
  <c r="I59" i="7" s="1"/>
  <c r="J59" i="7"/>
  <c r="K59" i="7"/>
  <c r="L59" i="7"/>
  <c r="N59" i="7"/>
  <c r="O59" i="7"/>
  <c r="P59" i="7"/>
  <c r="Q59" i="7" s="1"/>
  <c r="R59" i="7"/>
  <c r="AH59" i="7"/>
  <c r="AI59" i="7"/>
  <c r="E60" i="7"/>
  <c r="F60" i="7"/>
  <c r="G60" i="7"/>
  <c r="H60" i="7"/>
  <c r="I60" i="7" s="1"/>
  <c r="J60" i="7"/>
  <c r="K60" i="7"/>
  <c r="L60" i="7"/>
  <c r="N60" i="7"/>
  <c r="O60" i="7"/>
  <c r="P60" i="7"/>
  <c r="Q60" i="7" s="1"/>
  <c r="R60" i="7"/>
  <c r="AH60" i="7"/>
  <c r="AI60" i="7"/>
  <c r="AB61" i="7"/>
  <c r="AC61" i="7"/>
  <c r="AD61" i="7"/>
  <c r="AE61" i="7"/>
  <c r="E62" i="7"/>
  <c r="F62" i="7"/>
  <c r="G62" i="7"/>
  <c r="H62" i="7"/>
  <c r="I62" i="7" s="1"/>
  <c r="J62" i="7"/>
  <c r="K62" i="7"/>
  <c r="M62" i="7" s="1"/>
  <c r="L62" i="7"/>
  <c r="N62" i="7"/>
  <c r="O62" i="7"/>
  <c r="P62" i="7"/>
  <c r="Q62" i="7" s="1"/>
  <c r="R62" i="7"/>
  <c r="AH62" i="7"/>
  <c r="AI62" i="7"/>
  <c r="AB63" i="7"/>
  <c r="AC63" i="7"/>
  <c r="AD63" i="7"/>
  <c r="AE63" i="7"/>
  <c r="E64" i="7"/>
  <c r="F64" i="7"/>
  <c r="G64" i="7"/>
  <c r="H64" i="7"/>
  <c r="I64" i="7" s="1"/>
  <c r="J64" i="7"/>
  <c r="K64" i="7"/>
  <c r="L64" i="7"/>
  <c r="N64" i="7"/>
  <c r="O64" i="7"/>
  <c r="P64" i="7"/>
  <c r="Q64" i="7" s="1"/>
  <c r="R64" i="7"/>
  <c r="AB65" i="7"/>
  <c r="AC65" i="7"/>
  <c r="AD65" i="7"/>
  <c r="AE65" i="7"/>
  <c r="E66" i="7"/>
  <c r="F66" i="7"/>
  <c r="G66" i="7"/>
  <c r="Q66" i="7"/>
  <c r="S66" i="7" s="1"/>
  <c r="AH66" i="7"/>
  <c r="AI66" i="7"/>
  <c r="E67" i="7"/>
  <c r="F67" i="7"/>
  <c r="G67" i="7"/>
  <c r="H67" i="7"/>
  <c r="I67" i="7"/>
  <c r="M67" i="7" s="1"/>
  <c r="Q67" i="7"/>
  <c r="S67" i="7" s="1"/>
  <c r="AH67" i="7"/>
  <c r="AI67" i="7"/>
  <c r="E68" i="7"/>
  <c r="F68" i="7"/>
  <c r="G68" i="7"/>
  <c r="H68" i="7"/>
  <c r="M68" i="7" s="1"/>
  <c r="I68" i="7"/>
  <c r="Q68" i="7"/>
  <c r="S68" i="7" s="1"/>
  <c r="AH68" i="7"/>
  <c r="AI68" i="7"/>
  <c r="E69" i="7"/>
  <c r="F69" i="7"/>
  <c r="G69" i="7"/>
  <c r="H69" i="7"/>
  <c r="I69" i="7" s="1"/>
  <c r="J69" i="7"/>
  <c r="K69" i="7"/>
  <c r="L69" i="7"/>
  <c r="N69" i="7"/>
  <c r="O69" i="7"/>
  <c r="P69" i="7"/>
  <c r="Q69" i="7"/>
  <c r="R69" i="7"/>
  <c r="AH69" i="7"/>
  <c r="AI69" i="7"/>
  <c r="G70" i="7"/>
  <c r="AH70" i="7"/>
  <c r="AI70" i="7"/>
  <c r="AB71" i="7"/>
  <c r="AC71" i="7"/>
  <c r="AD71" i="7"/>
  <c r="AE71" i="7"/>
  <c r="E72" i="7"/>
  <c r="F72" i="7"/>
  <c r="G72" i="7"/>
  <c r="H72" i="7"/>
  <c r="I72" i="7" s="1"/>
  <c r="J72" i="7"/>
  <c r="K72" i="7"/>
  <c r="L72" i="7"/>
  <c r="M72" i="7"/>
  <c r="N72" i="7"/>
  <c r="O72" i="7"/>
  <c r="P72" i="7"/>
  <c r="Q72" i="7" s="1"/>
  <c r="R72" i="7"/>
  <c r="AH72" i="7"/>
  <c r="AI72" i="7"/>
  <c r="E73" i="7"/>
  <c r="F73" i="7"/>
  <c r="G73" i="7"/>
  <c r="H73" i="7"/>
  <c r="I73" i="7" s="1"/>
  <c r="J73" i="7"/>
  <c r="K73" i="7"/>
  <c r="L73" i="7"/>
  <c r="N73" i="7"/>
  <c r="O73" i="7"/>
  <c r="P73" i="7"/>
  <c r="Q73" i="7" s="1"/>
  <c r="R73" i="7"/>
  <c r="AH73" i="7"/>
  <c r="AI73" i="7"/>
  <c r="E74" i="7"/>
  <c r="F74" i="7"/>
  <c r="G74" i="7"/>
  <c r="AH74" i="7"/>
  <c r="AI74" i="7"/>
  <c r="E75" i="7"/>
  <c r="F75" i="7"/>
  <c r="G75" i="7"/>
  <c r="H75" i="7"/>
  <c r="H76" i="7" s="1"/>
  <c r="H77" i="7" s="1"/>
  <c r="J75" i="7"/>
  <c r="J74" i="7" s="1"/>
  <c r="K75" i="7"/>
  <c r="K74" i="7" s="1"/>
  <c r="L75" i="7"/>
  <c r="L74" i="7" s="1"/>
  <c r="N75" i="7"/>
  <c r="N74" i="7" s="1"/>
  <c r="O75" i="7"/>
  <c r="O74" i="7" s="1"/>
  <c r="P75" i="7"/>
  <c r="P74" i="7" s="1"/>
  <c r="Q74" i="7" s="1"/>
  <c r="Q75" i="7"/>
  <c r="R75" i="7"/>
  <c r="R76" i="7" s="1"/>
  <c r="AH75" i="7"/>
  <c r="AI75" i="7"/>
  <c r="E76" i="7"/>
  <c r="F76" i="7"/>
  <c r="V76" i="7" s="1"/>
  <c r="AC76" i="7" s="1"/>
  <c r="G76" i="7"/>
  <c r="K76" i="7"/>
  <c r="K77" i="7" s="1"/>
  <c r="O76" i="7"/>
  <c r="O77" i="7" s="1"/>
  <c r="P76" i="7"/>
  <c r="P77" i="7" s="1"/>
  <c r="Q77" i="7" s="1"/>
  <c r="Q76" i="7"/>
  <c r="AH76" i="7"/>
  <c r="AI76" i="7"/>
  <c r="E77" i="7"/>
  <c r="F77" i="7"/>
  <c r="X77" i="7" s="1"/>
  <c r="AE77" i="7" s="1"/>
  <c r="G77" i="7"/>
  <c r="L77" i="7"/>
  <c r="AH77" i="7"/>
  <c r="AI77" i="7"/>
  <c r="AB78" i="7"/>
  <c r="AC78" i="7"/>
  <c r="AD78" i="7"/>
  <c r="AE78" i="7"/>
  <c r="E79" i="7"/>
  <c r="F79" i="7"/>
  <c r="G79" i="7" s="1"/>
  <c r="J79" i="7"/>
  <c r="K79" i="7"/>
  <c r="L79" i="7"/>
  <c r="N79" i="7"/>
  <c r="S79" i="7" s="1"/>
  <c r="O79" i="7"/>
  <c r="P79" i="7"/>
  <c r="Q79" i="7" s="1"/>
  <c r="R79" i="7"/>
  <c r="AH79" i="7"/>
  <c r="AI79" i="7"/>
  <c r="E80" i="7"/>
  <c r="F80" i="7"/>
  <c r="G80" i="7" s="1"/>
  <c r="H80" i="7"/>
  <c r="I80" i="7" s="1"/>
  <c r="J80" i="7"/>
  <c r="K80" i="7"/>
  <c r="L80" i="7"/>
  <c r="N80" i="7"/>
  <c r="O80" i="7"/>
  <c r="P80" i="7"/>
  <c r="Q80" i="7" s="1"/>
  <c r="R80" i="7"/>
  <c r="AH80" i="7"/>
  <c r="AI80" i="7"/>
  <c r="E81" i="7"/>
  <c r="F81" i="7"/>
  <c r="G81" i="7"/>
  <c r="H81" i="7"/>
  <c r="I81" i="7" s="1"/>
  <c r="J81" i="7"/>
  <c r="K81" i="7"/>
  <c r="L81" i="7"/>
  <c r="N81" i="7"/>
  <c r="O81" i="7"/>
  <c r="P81" i="7"/>
  <c r="Q81" i="7"/>
  <c r="R81" i="7"/>
  <c r="AH81" i="7"/>
  <c r="AI81" i="7"/>
  <c r="E82" i="7"/>
  <c r="F82" i="7"/>
  <c r="G82" i="7"/>
  <c r="H82" i="7"/>
  <c r="H79" i="7" s="1"/>
  <c r="I82" i="7"/>
  <c r="M82" i="7" s="1"/>
  <c r="Q82" i="7"/>
  <c r="S82" i="7" s="1"/>
  <c r="AH82" i="7"/>
  <c r="AI82" i="7"/>
  <c r="AB83" i="7"/>
  <c r="AC83" i="7"/>
  <c r="AD83" i="7"/>
  <c r="AE83" i="7"/>
  <c r="E84" i="7"/>
  <c r="F84" i="7"/>
  <c r="G84" i="7"/>
  <c r="H84" i="7"/>
  <c r="I84" i="7" s="1"/>
  <c r="J84" i="7"/>
  <c r="K84" i="7"/>
  <c r="L84" i="7"/>
  <c r="N84" i="7"/>
  <c r="O84" i="7"/>
  <c r="P84" i="7"/>
  <c r="Q84" i="7" s="1"/>
  <c r="R84" i="7"/>
  <c r="AH84" i="7"/>
  <c r="AI84" i="7"/>
  <c r="E85" i="7"/>
  <c r="F85" i="7"/>
  <c r="G85" i="7"/>
  <c r="H85" i="7"/>
  <c r="I85" i="7" s="1"/>
  <c r="J85" i="7"/>
  <c r="K85" i="7"/>
  <c r="L85" i="7"/>
  <c r="N85" i="7"/>
  <c r="O85" i="7"/>
  <c r="P85" i="7"/>
  <c r="Q85" i="7" s="1"/>
  <c r="R85" i="7"/>
  <c r="AH85" i="7"/>
  <c r="AI85" i="7"/>
  <c r="E86" i="7"/>
  <c r="F86" i="7"/>
  <c r="H86" i="7"/>
  <c r="I86" i="7"/>
  <c r="M86" i="7" s="1"/>
  <c r="Q86" i="7"/>
  <c r="S86" i="7" s="1"/>
  <c r="AH86" i="7"/>
  <c r="AI86" i="7"/>
  <c r="AB87" i="7"/>
  <c r="AC87" i="7"/>
  <c r="AD87" i="7"/>
  <c r="AE87" i="7"/>
  <c r="AB88" i="7"/>
  <c r="AC88" i="7"/>
  <c r="AD88" i="7"/>
  <c r="AE88" i="7"/>
  <c r="E89" i="7"/>
  <c r="F89" i="7"/>
  <c r="G89" i="7"/>
  <c r="H89" i="7"/>
  <c r="I89" i="7" s="1"/>
  <c r="J89" i="7"/>
  <c r="K89" i="7"/>
  <c r="L89" i="7"/>
  <c r="N89" i="7"/>
  <c r="O89" i="7"/>
  <c r="P89" i="7"/>
  <c r="Q89" i="7" s="1"/>
  <c r="R89" i="7"/>
  <c r="AH89" i="7"/>
  <c r="AI89" i="7"/>
  <c r="AB90" i="7"/>
  <c r="AC90" i="7"/>
  <c r="AD90" i="7"/>
  <c r="AE90" i="7"/>
  <c r="E91" i="7"/>
  <c r="F91" i="7"/>
  <c r="G91" i="7"/>
  <c r="H91" i="7"/>
  <c r="I91" i="7" s="1"/>
  <c r="J91" i="7"/>
  <c r="J95" i="7" s="1"/>
  <c r="K91" i="7"/>
  <c r="K95" i="7" s="1"/>
  <c r="L91" i="7"/>
  <c r="L95" i="7" s="1"/>
  <c r="N91" i="7"/>
  <c r="O91" i="7"/>
  <c r="P91" i="7"/>
  <c r="P95" i="7" s="1"/>
  <c r="Q95" i="7" s="1"/>
  <c r="R91" i="7"/>
  <c r="AH91" i="7"/>
  <c r="AI91" i="7"/>
  <c r="AB92" i="7"/>
  <c r="AC92" i="7"/>
  <c r="AD92" i="7"/>
  <c r="AE92" i="7"/>
  <c r="E93" i="7"/>
  <c r="F93" i="7"/>
  <c r="G93" i="7"/>
  <c r="H93" i="7"/>
  <c r="I93" i="7" s="1"/>
  <c r="J93" i="7"/>
  <c r="K93" i="7"/>
  <c r="L93" i="7"/>
  <c r="N93" i="7"/>
  <c r="O93" i="7"/>
  <c r="P93" i="7"/>
  <c r="Q93" i="7" s="1"/>
  <c r="R93" i="7"/>
  <c r="AH93" i="7"/>
  <c r="AI93" i="7"/>
  <c r="AC94" i="7"/>
  <c r="AE94" i="7"/>
  <c r="E95" i="7"/>
  <c r="F95" i="7"/>
  <c r="G95" i="7" s="1"/>
  <c r="N95" i="7"/>
  <c r="R95" i="7"/>
  <c r="AH95" i="7"/>
  <c r="AI95" i="7"/>
  <c r="E97" i="7"/>
  <c r="F97" i="7"/>
  <c r="G97" i="7"/>
  <c r="H97" i="7"/>
  <c r="I97" i="7"/>
  <c r="M97" i="7" s="1"/>
  <c r="Q97" i="7"/>
  <c r="S97" i="7" s="1"/>
  <c r="AH97" i="7"/>
  <c r="AI97" i="7"/>
  <c r="G99" i="7"/>
  <c r="H99" i="7"/>
  <c r="I99" i="7" s="1"/>
  <c r="J99" i="7"/>
  <c r="K99" i="7"/>
  <c r="L99" i="7"/>
  <c r="N99" i="7"/>
  <c r="O99" i="7"/>
  <c r="P99" i="7"/>
  <c r="Q99" i="7" s="1"/>
  <c r="R99" i="7"/>
  <c r="E101" i="7"/>
  <c r="F101" i="7"/>
  <c r="G101" i="7"/>
  <c r="H101" i="7"/>
  <c r="I101" i="7" s="1"/>
  <c r="J101" i="7"/>
  <c r="K101" i="7"/>
  <c r="L101" i="7"/>
  <c r="N101" i="7"/>
  <c r="O101" i="7"/>
  <c r="P101" i="7"/>
  <c r="Q101" i="7" s="1"/>
  <c r="R101" i="7"/>
  <c r="AH101" i="7"/>
  <c r="AI101" i="7"/>
  <c r="W86" i="7" l="1"/>
  <c r="AD86" i="7" s="1"/>
  <c r="T86" i="7"/>
  <c r="U86" i="7"/>
  <c r="AB86" i="7" s="1"/>
  <c r="M91" i="7"/>
  <c r="S101" i="7"/>
  <c r="V67" i="7"/>
  <c r="AC67" i="7" s="1"/>
  <c r="S58" i="7"/>
  <c r="H41" i="7"/>
  <c r="I41" i="7" s="1"/>
  <c r="M41" i="7" s="1"/>
  <c r="I40" i="7"/>
  <c r="M40" i="7" s="1"/>
  <c r="I39" i="7"/>
  <c r="M39" i="7" s="1"/>
  <c r="T39" i="7" s="1"/>
  <c r="I38" i="7"/>
  <c r="M38" i="7" s="1"/>
  <c r="M69" i="7"/>
  <c r="U67" i="7"/>
  <c r="AB67" i="7" s="1"/>
  <c r="V55" i="7"/>
  <c r="AC55" i="7" s="1"/>
  <c r="X54" i="7"/>
  <c r="AE54" i="7" s="1"/>
  <c r="M51" i="7"/>
  <c r="S42" i="7"/>
  <c r="M22" i="7"/>
  <c r="S21" i="7"/>
  <c r="Z21" i="7" s="1"/>
  <c r="AG21" i="7" s="1"/>
  <c r="AK21" i="7" s="1"/>
  <c r="S85" i="7"/>
  <c r="V68" i="7"/>
  <c r="AC68" i="7" s="1"/>
  <c r="H66" i="7"/>
  <c r="I66" i="7" s="1"/>
  <c r="S62" i="7"/>
  <c r="X52" i="7"/>
  <c r="AE52" i="7" s="1"/>
  <c r="X50" i="7"/>
  <c r="AE50" i="7" s="1"/>
  <c r="H46" i="7"/>
  <c r="Y43" i="7"/>
  <c r="AF43" i="7" s="1"/>
  <c r="S41" i="7"/>
  <c r="V41" i="7" s="1"/>
  <c r="AC41" i="7" s="1"/>
  <c r="M33" i="7"/>
  <c r="S19" i="7"/>
  <c r="S72" i="7"/>
  <c r="Y68" i="7"/>
  <c r="AF68" i="7" s="1"/>
  <c r="AJ68" i="7" s="1"/>
  <c r="M55" i="7"/>
  <c r="U55" i="7" s="1"/>
  <c r="AB55" i="7" s="1"/>
  <c r="W40" i="7"/>
  <c r="AD40" i="7" s="1"/>
  <c r="M35" i="7"/>
  <c r="Y35" i="7" s="1"/>
  <c r="AF35" i="7" s="1"/>
  <c r="AJ35" i="7" s="1"/>
  <c r="S26" i="7"/>
  <c r="M13" i="7"/>
  <c r="M81" i="7"/>
  <c r="M99" i="7"/>
  <c r="M64" i="7"/>
  <c r="M80" i="7"/>
  <c r="M19" i="7"/>
  <c r="S12" i="7"/>
  <c r="S89" i="7"/>
  <c r="M18" i="7"/>
  <c r="W18" i="7" s="1"/>
  <c r="AD18" i="7" s="1"/>
  <c r="H95" i="7"/>
  <c r="I95" i="7" s="1"/>
  <c r="S25" i="7"/>
  <c r="S32" i="7"/>
  <c r="V32" i="7" s="1"/>
  <c r="AC32" i="7" s="1"/>
  <c r="S24" i="7"/>
  <c r="X24" i="7" s="1"/>
  <c r="AE24" i="7" s="1"/>
  <c r="M21" i="7"/>
  <c r="N76" i="7"/>
  <c r="N77" i="7" s="1"/>
  <c r="Q91" i="7"/>
  <c r="S91" i="7" s="1"/>
  <c r="M85" i="7"/>
  <c r="U85" i="7" s="1"/>
  <c r="AB85" i="7" s="1"/>
  <c r="S84" i="7"/>
  <c r="M93" i="7"/>
  <c r="W93" i="7" s="1"/>
  <c r="AD93" i="7" s="1"/>
  <c r="M89" i="7"/>
  <c r="T89" i="7" s="1"/>
  <c r="S81" i="7"/>
  <c r="Z81" i="7" s="1"/>
  <c r="AG81" i="7" s="1"/>
  <c r="AK81" i="7" s="1"/>
  <c r="Z76" i="7"/>
  <c r="AG76" i="7" s="1"/>
  <c r="AK76" i="7" s="1"/>
  <c r="M84" i="7"/>
  <c r="X76" i="7"/>
  <c r="AE76" i="7" s="1"/>
  <c r="S75" i="7"/>
  <c r="V75" i="7" s="1"/>
  <c r="AC75" i="7" s="1"/>
  <c r="S59" i="7"/>
  <c r="Q14" i="7"/>
  <c r="S14" i="7" s="1"/>
  <c r="V14" i="7" s="1"/>
  <c r="AC14" i="7" s="1"/>
  <c r="S27" i="7"/>
  <c r="X27" i="7" s="1"/>
  <c r="AE27" i="7" s="1"/>
  <c r="M25" i="7"/>
  <c r="S93" i="7"/>
  <c r="X93" i="7" s="1"/>
  <c r="AE93" i="7" s="1"/>
  <c r="S80" i="7"/>
  <c r="T80" i="7" s="1"/>
  <c r="V77" i="7"/>
  <c r="AC77" i="7" s="1"/>
  <c r="V72" i="7"/>
  <c r="AC72" i="7" s="1"/>
  <c r="M24" i="7"/>
  <c r="X21" i="7"/>
  <c r="AE21" i="7" s="1"/>
  <c r="V86" i="7"/>
  <c r="AC86" i="7" s="1"/>
  <c r="S73" i="7"/>
  <c r="M60" i="7"/>
  <c r="X68" i="7"/>
  <c r="AE68" i="7" s="1"/>
  <c r="AJ43" i="7"/>
  <c r="W68" i="7"/>
  <c r="AD68" i="7" s="1"/>
  <c r="X67" i="7"/>
  <c r="AE67" i="7" s="1"/>
  <c r="Z55" i="7"/>
  <c r="AG55" i="7" s="1"/>
  <c r="AK55" i="7" s="1"/>
  <c r="Z50" i="7"/>
  <c r="AG50" i="7" s="1"/>
  <c r="AK50" i="7" s="1"/>
  <c r="X55" i="7"/>
  <c r="AE55" i="7" s="1"/>
  <c r="V54" i="7"/>
  <c r="AC54" i="7" s="1"/>
  <c r="V50" i="7"/>
  <c r="AC50" i="7" s="1"/>
  <c r="U68" i="7"/>
  <c r="AB68" i="7" s="1"/>
  <c r="Z54" i="7"/>
  <c r="AG54" i="7" s="1"/>
  <c r="AK54" i="7" s="1"/>
  <c r="Z44" i="7"/>
  <c r="AG44" i="7" s="1"/>
  <c r="AK44" i="7" s="1"/>
  <c r="V85" i="7"/>
  <c r="AC85" i="7" s="1"/>
  <c r="V23" i="7"/>
  <c r="AC23" i="7" s="1"/>
  <c r="Y40" i="7"/>
  <c r="AF40" i="7" s="1"/>
  <c r="AJ40" i="7" s="1"/>
  <c r="Z72" i="7"/>
  <c r="AG72" i="7" s="1"/>
  <c r="AK72" i="7" s="1"/>
  <c r="X72" i="7"/>
  <c r="AE72" i="7" s="1"/>
  <c r="E32" i="7"/>
  <c r="U32" i="7" s="1"/>
  <c r="AB32" i="7" s="1"/>
  <c r="V26" i="7"/>
  <c r="AC26" i="7" s="1"/>
  <c r="X18" i="7"/>
  <c r="AE18" i="7" s="1"/>
  <c r="Y39" i="7"/>
  <c r="AF39" i="7" s="1"/>
  <c r="AJ39" i="7" s="1"/>
  <c r="U64" i="7"/>
  <c r="AB64" i="7" s="1"/>
  <c r="W64" i="7"/>
  <c r="AD64" i="7" s="1"/>
  <c r="Y64" i="7"/>
  <c r="AF64" i="7" s="1"/>
  <c r="AH64" i="7" s="1"/>
  <c r="AJ64" i="7" s="1"/>
  <c r="Z93" i="7"/>
  <c r="AG93" i="7" s="1"/>
  <c r="AK93" i="7" s="1"/>
  <c r="Y80" i="7"/>
  <c r="AF80" i="7" s="1"/>
  <c r="AJ80" i="7" s="1"/>
  <c r="U80" i="7"/>
  <c r="AB80" i="7" s="1"/>
  <c r="W80" i="7"/>
  <c r="AD80" i="7" s="1"/>
  <c r="Z97" i="7"/>
  <c r="AG97" i="7" s="1"/>
  <c r="AK97" i="7" s="1"/>
  <c r="V97" i="7"/>
  <c r="AC97" i="7" s="1"/>
  <c r="X97" i="7"/>
  <c r="AE97" i="7" s="1"/>
  <c r="T97" i="7"/>
  <c r="V84" i="7"/>
  <c r="AC84" i="7" s="1"/>
  <c r="X84" i="7"/>
  <c r="AE84" i="7" s="1"/>
  <c r="Z84" i="7"/>
  <c r="AG84" i="7" s="1"/>
  <c r="AK84" i="7" s="1"/>
  <c r="T85" i="7"/>
  <c r="W85" i="7"/>
  <c r="AD85" i="7" s="1"/>
  <c r="Y85" i="7"/>
  <c r="AF85" i="7" s="1"/>
  <c r="AJ85" i="7" s="1"/>
  <c r="V82" i="7"/>
  <c r="AC82" i="7" s="1"/>
  <c r="X82" i="7"/>
  <c r="AE82" i="7" s="1"/>
  <c r="Z82" i="7"/>
  <c r="AG82" i="7" s="1"/>
  <c r="AK82" i="7" s="1"/>
  <c r="I77" i="7"/>
  <c r="M77" i="7" s="1"/>
  <c r="Z101" i="7"/>
  <c r="AG101" i="7" s="1"/>
  <c r="AK101" i="7" s="1"/>
  <c r="V101" i="7"/>
  <c r="AC101" i="7" s="1"/>
  <c r="X101" i="7"/>
  <c r="AE101" i="7" s="1"/>
  <c r="T93" i="7"/>
  <c r="U93" i="7"/>
  <c r="AB93" i="7" s="1"/>
  <c r="Y93" i="7"/>
  <c r="AF93" i="7" s="1"/>
  <c r="AJ93" i="7" s="1"/>
  <c r="T82" i="7"/>
  <c r="Y91" i="7"/>
  <c r="AF91" i="7" s="1"/>
  <c r="AJ91" i="7" s="1"/>
  <c r="U91" i="7"/>
  <c r="AB91" i="7" s="1"/>
  <c r="W91" i="7"/>
  <c r="AD91" i="7" s="1"/>
  <c r="S99" i="7"/>
  <c r="T84" i="7"/>
  <c r="U84" i="7"/>
  <c r="AB84" i="7" s="1"/>
  <c r="Y84" i="7"/>
  <c r="AF84" i="7" s="1"/>
  <c r="AJ84" i="7" s="1"/>
  <c r="W84" i="7"/>
  <c r="AD84" i="7" s="1"/>
  <c r="I79" i="7"/>
  <c r="M79" i="7" s="1"/>
  <c r="X79" i="7"/>
  <c r="AE79" i="7" s="1"/>
  <c r="Z79" i="7"/>
  <c r="AG79" i="7" s="1"/>
  <c r="AK79" i="7" s="1"/>
  <c r="V79" i="7"/>
  <c r="AC79" i="7" s="1"/>
  <c r="U81" i="7"/>
  <c r="AB81" i="7" s="1"/>
  <c r="W81" i="7"/>
  <c r="AD81" i="7" s="1"/>
  <c r="Y81" i="7"/>
  <c r="AF81" i="7" s="1"/>
  <c r="AJ81" i="7" s="1"/>
  <c r="V89" i="7"/>
  <c r="AC89" i="7" s="1"/>
  <c r="X89" i="7"/>
  <c r="AE89" i="7" s="1"/>
  <c r="Z89" i="7"/>
  <c r="AG89" i="7" s="1"/>
  <c r="AK89" i="7" s="1"/>
  <c r="U69" i="7"/>
  <c r="AB69" i="7" s="1"/>
  <c r="W69" i="7"/>
  <c r="AD69" i="7" s="1"/>
  <c r="Y69" i="7"/>
  <c r="AF69" i="7" s="1"/>
  <c r="AJ69" i="7" s="1"/>
  <c r="Y99" i="7"/>
  <c r="AF99" i="7" s="1"/>
  <c r="W99" i="7"/>
  <c r="AD99" i="7" s="1"/>
  <c r="U99" i="7"/>
  <c r="AB99" i="7" s="1"/>
  <c r="V73" i="7"/>
  <c r="AC73" i="7" s="1"/>
  <c r="X73" i="7"/>
  <c r="AE73" i="7" s="1"/>
  <c r="Z73" i="7"/>
  <c r="AG73" i="7" s="1"/>
  <c r="AK73" i="7" s="1"/>
  <c r="U60" i="7"/>
  <c r="AB60" i="7" s="1"/>
  <c r="W60" i="7"/>
  <c r="AD60" i="7" s="1"/>
  <c r="Y60" i="7"/>
  <c r="AF60" i="7" s="1"/>
  <c r="AJ60" i="7" s="1"/>
  <c r="T51" i="7"/>
  <c r="U51" i="7"/>
  <c r="AB51" i="7" s="1"/>
  <c r="W51" i="7"/>
  <c r="AD51" i="7" s="1"/>
  <c r="X12" i="7"/>
  <c r="AE12" i="7" s="1"/>
  <c r="Z12" i="7"/>
  <c r="AG12" i="7" s="1"/>
  <c r="T62" i="7"/>
  <c r="U62" i="7"/>
  <c r="AB62" i="7" s="1"/>
  <c r="W62" i="7"/>
  <c r="AD62" i="7" s="1"/>
  <c r="T19" i="7"/>
  <c r="U19" i="7"/>
  <c r="AB19" i="7" s="1"/>
  <c r="W19" i="7"/>
  <c r="AD19" i="7" s="1"/>
  <c r="Y19" i="7"/>
  <c r="AF19" i="7" s="1"/>
  <c r="AH19" i="7" s="1"/>
  <c r="AJ19" i="7" s="1"/>
  <c r="X43" i="7"/>
  <c r="AE43" i="7" s="1"/>
  <c r="Z43" i="7"/>
  <c r="AG43" i="7" s="1"/>
  <c r="AK43" i="7" s="1"/>
  <c r="V43" i="7"/>
  <c r="AC43" i="7" s="1"/>
  <c r="V37" i="7"/>
  <c r="AC37" i="7" s="1"/>
  <c r="X37" i="7"/>
  <c r="AE37" i="7" s="1"/>
  <c r="Z37" i="7"/>
  <c r="AG37" i="7" s="1"/>
  <c r="AK37" i="7" s="1"/>
  <c r="Q16" i="7"/>
  <c r="S16" i="7" s="1"/>
  <c r="P17" i="7"/>
  <c r="R77" i="7"/>
  <c r="L76" i="7"/>
  <c r="H74" i="7"/>
  <c r="T68" i="7"/>
  <c r="Z68" i="7"/>
  <c r="AG68" i="7" s="1"/>
  <c r="AK68" i="7" s="1"/>
  <c r="Y67" i="7"/>
  <c r="AF67" i="7" s="1"/>
  <c r="AJ67" i="7" s="1"/>
  <c r="V53" i="7"/>
  <c r="AC53" i="7" s="1"/>
  <c r="X53" i="7"/>
  <c r="AE53" i="7" s="1"/>
  <c r="Z53" i="7"/>
  <c r="AG53" i="7" s="1"/>
  <c r="AK53" i="7" s="1"/>
  <c r="I45" i="7"/>
  <c r="M45" i="7" s="1"/>
  <c r="Z49" i="7"/>
  <c r="AG49" i="7" s="1"/>
  <c r="V49" i="7"/>
  <c r="AC49" i="7" s="1"/>
  <c r="X49" i="7"/>
  <c r="AE49" i="7" s="1"/>
  <c r="V46" i="7"/>
  <c r="AC46" i="7" s="1"/>
  <c r="X46" i="7"/>
  <c r="AE46" i="7" s="1"/>
  <c r="Z46" i="7"/>
  <c r="AG46" i="7" s="1"/>
  <c r="AK46" i="7" s="1"/>
  <c r="T43" i="7"/>
  <c r="U43" i="7"/>
  <c r="AB43" i="7" s="1"/>
  <c r="W43" i="7"/>
  <c r="AD43" i="7" s="1"/>
  <c r="V42" i="7"/>
  <c r="AC42" i="7" s="1"/>
  <c r="X42" i="7"/>
  <c r="AE42" i="7" s="1"/>
  <c r="S22" i="7"/>
  <c r="T22" i="7" s="1"/>
  <c r="X62" i="7"/>
  <c r="AE62" i="7" s="1"/>
  <c r="Z62" i="7"/>
  <c r="AG62" i="7" s="1"/>
  <c r="AK62" i="7" s="1"/>
  <c r="V62" i="7"/>
  <c r="AC62" i="7" s="1"/>
  <c r="Q48" i="7"/>
  <c r="S48" i="7"/>
  <c r="M73" i="7"/>
  <c r="T72" i="7"/>
  <c r="U72" i="7"/>
  <c r="AB72" i="7" s="1"/>
  <c r="V66" i="7"/>
  <c r="AC66" i="7" s="1"/>
  <c r="Z66" i="7"/>
  <c r="AG66" i="7" s="1"/>
  <c r="AK66" i="7" s="1"/>
  <c r="S64" i="7"/>
  <c r="V58" i="7"/>
  <c r="AC58" i="7" s="1"/>
  <c r="X58" i="7"/>
  <c r="AE58" i="7" s="1"/>
  <c r="Z58" i="7"/>
  <c r="AG58" i="7" s="1"/>
  <c r="AK58" i="7" s="1"/>
  <c r="Y53" i="7"/>
  <c r="AF53" i="7" s="1"/>
  <c r="AJ53" i="7" s="1"/>
  <c r="T53" i="7"/>
  <c r="U53" i="7"/>
  <c r="AB53" i="7" s="1"/>
  <c r="I49" i="7"/>
  <c r="M49" i="7" s="1"/>
  <c r="H50" i="7"/>
  <c r="Q45" i="7"/>
  <c r="S45" i="7"/>
  <c r="V38" i="7"/>
  <c r="AC38" i="7" s="1"/>
  <c r="X38" i="7"/>
  <c r="AE38" i="7" s="1"/>
  <c r="Z38" i="7"/>
  <c r="AG38" i="7" s="1"/>
  <c r="AK38" i="7" s="1"/>
  <c r="T32" i="7"/>
  <c r="V25" i="7"/>
  <c r="AC25" i="7" s="1"/>
  <c r="X25" i="7"/>
  <c r="AE25" i="7" s="1"/>
  <c r="Z25" i="7"/>
  <c r="AG25" i="7" s="1"/>
  <c r="AK25" i="7" s="1"/>
  <c r="I76" i="7"/>
  <c r="W67" i="7"/>
  <c r="AD67" i="7" s="1"/>
  <c r="X41" i="7"/>
  <c r="AE41" i="7" s="1"/>
  <c r="Z41" i="7"/>
  <c r="AG41" i="7" s="1"/>
  <c r="AI41" i="7" s="1"/>
  <c r="AK41" i="7" s="1"/>
  <c r="V39" i="7"/>
  <c r="AC39" i="7" s="1"/>
  <c r="X39" i="7"/>
  <c r="AE39" i="7" s="1"/>
  <c r="Z39" i="7"/>
  <c r="AG39" i="7" s="1"/>
  <c r="AK39" i="7" s="1"/>
  <c r="Z36" i="7"/>
  <c r="AG36" i="7" s="1"/>
  <c r="AK36" i="7" s="1"/>
  <c r="V36" i="7"/>
  <c r="AC36" i="7" s="1"/>
  <c r="X36" i="7"/>
  <c r="AE36" i="7" s="1"/>
  <c r="V34" i="7"/>
  <c r="AC34" i="7" s="1"/>
  <c r="X34" i="7"/>
  <c r="AE34" i="7" s="1"/>
  <c r="Z34" i="7"/>
  <c r="AG34" i="7" s="1"/>
  <c r="AK34" i="7" s="1"/>
  <c r="Q15" i="7"/>
  <c r="S15" i="7" s="1"/>
  <c r="P20" i="7"/>
  <c r="Q20" i="7" s="1"/>
  <c r="M12" i="7"/>
  <c r="V59" i="7"/>
  <c r="AC59" i="7" s="1"/>
  <c r="Z59" i="7"/>
  <c r="AG59" i="7" s="1"/>
  <c r="AK59" i="7" s="1"/>
  <c r="T33" i="7"/>
  <c r="W33" i="7"/>
  <c r="AD33" i="7" s="1"/>
  <c r="Y33" i="7"/>
  <c r="AF33" i="7" s="1"/>
  <c r="AJ33" i="7" s="1"/>
  <c r="Z75" i="7"/>
  <c r="AG75" i="7" s="1"/>
  <c r="AK75" i="7" s="1"/>
  <c r="Y72" i="7"/>
  <c r="AF72" i="7" s="1"/>
  <c r="AJ72" i="7" s="1"/>
  <c r="M59" i="7"/>
  <c r="I36" i="7"/>
  <c r="M36" i="7" s="1"/>
  <c r="H37" i="7"/>
  <c r="Y34" i="7"/>
  <c r="AF34" i="7" s="1"/>
  <c r="AJ34" i="7" s="1"/>
  <c r="T34" i="7"/>
  <c r="U34" i="7"/>
  <c r="AB34" i="7" s="1"/>
  <c r="Z27" i="7"/>
  <c r="AG27" i="7" s="1"/>
  <c r="AK27" i="7" s="1"/>
  <c r="V27" i="7"/>
  <c r="AC27" i="7" s="1"/>
  <c r="I23" i="7"/>
  <c r="M23" i="7" s="1"/>
  <c r="I17" i="7"/>
  <c r="M17" i="7" s="1"/>
  <c r="O20" i="7"/>
  <c r="O95" i="7"/>
  <c r="S95" i="7" s="1"/>
  <c r="M95" i="7"/>
  <c r="W82" i="7"/>
  <c r="AD82" i="7" s="1"/>
  <c r="W97" i="7"/>
  <c r="AD97" i="7" s="1"/>
  <c r="Z86" i="7"/>
  <c r="AG86" i="7" s="1"/>
  <c r="AK86" i="7" s="1"/>
  <c r="Z85" i="7"/>
  <c r="AG85" i="7" s="1"/>
  <c r="AK85" i="7" s="1"/>
  <c r="R74" i="7"/>
  <c r="S74" i="7" s="1"/>
  <c r="S69" i="7"/>
  <c r="T67" i="7"/>
  <c r="Z67" i="7"/>
  <c r="AG67" i="7" s="1"/>
  <c r="AK67" i="7" s="1"/>
  <c r="U54" i="7"/>
  <c r="AB54" i="7" s="1"/>
  <c r="W54" i="7"/>
  <c r="AD54" i="7" s="1"/>
  <c r="Y54" i="7"/>
  <c r="AF54" i="7" s="1"/>
  <c r="AJ54" i="7" s="1"/>
  <c r="T54" i="7"/>
  <c r="W44" i="7"/>
  <c r="AD44" i="7" s="1"/>
  <c r="Y44" i="7"/>
  <c r="AF44" i="7" s="1"/>
  <c r="AJ44" i="7" s="1"/>
  <c r="T44" i="7"/>
  <c r="U44" i="7"/>
  <c r="AB44" i="7" s="1"/>
  <c r="Y42" i="7"/>
  <c r="AF42" i="7" s="1"/>
  <c r="AJ42" i="7" s="1"/>
  <c r="T42" i="7"/>
  <c r="U42" i="7"/>
  <c r="AB42" i="7" s="1"/>
  <c r="W42" i="7"/>
  <c r="AD42" i="7" s="1"/>
  <c r="V40" i="7"/>
  <c r="AC40" i="7" s="1"/>
  <c r="X40" i="7"/>
  <c r="AE40" i="7" s="1"/>
  <c r="Z40" i="7"/>
  <c r="AG40" i="7" s="1"/>
  <c r="AK40" i="7" s="1"/>
  <c r="I26" i="7"/>
  <c r="M26" i="7" s="1"/>
  <c r="Z24" i="7"/>
  <c r="AG24" i="7" s="1"/>
  <c r="AK24" i="7" s="1"/>
  <c r="V24" i="7"/>
  <c r="AC24" i="7" s="1"/>
  <c r="Y82" i="7"/>
  <c r="AF82" i="7" s="1"/>
  <c r="AJ82" i="7" s="1"/>
  <c r="M101" i="7"/>
  <c r="Y97" i="7"/>
  <c r="AF97" i="7" s="1"/>
  <c r="AJ97" i="7" s="1"/>
  <c r="Y86" i="7"/>
  <c r="AF86" i="7" s="1"/>
  <c r="AJ86" i="7" s="1"/>
  <c r="U82" i="7"/>
  <c r="AB82" i="7" s="1"/>
  <c r="Z77" i="7"/>
  <c r="AG77" i="7" s="1"/>
  <c r="AK77" i="7" s="1"/>
  <c r="X75" i="7"/>
  <c r="AE75" i="7" s="1"/>
  <c r="W72" i="7"/>
  <c r="AD72" i="7" s="1"/>
  <c r="Y62" i="7"/>
  <c r="AF62" i="7" s="1"/>
  <c r="AJ62" i="7" s="1"/>
  <c r="S60" i="7"/>
  <c r="X59" i="7"/>
  <c r="AE59" i="7" s="1"/>
  <c r="I46" i="7"/>
  <c r="M46" i="7" s="1"/>
  <c r="H47" i="7"/>
  <c r="T40" i="7"/>
  <c r="I16" i="7"/>
  <c r="M16" i="7" s="1"/>
  <c r="U22" i="7"/>
  <c r="AB22" i="7" s="1"/>
  <c r="W22" i="7"/>
  <c r="AD22" i="7" s="1"/>
  <c r="Y22" i="7"/>
  <c r="AF22" i="7" s="1"/>
  <c r="AJ22" i="7" s="1"/>
  <c r="V19" i="7"/>
  <c r="AC19" i="7" s="1"/>
  <c r="X19" i="7"/>
  <c r="AE19" i="7" s="1"/>
  <c r="Z19" i="7"/>
  <c r="AG19" i="7" s="1"/>
  <c r="AI19" i="7" s="1"/>
  <c r="AK19" i="7" s="1"/>
  <c r="V13" i="7"/>
  <c r="AC13" i="7" s="1"/>
  <c r="X13" i="7"/>
  <c r="AE13" i="7" s="1"/>
  <c r="Z13" i="7"/>
  <c r="AG13" i="7" s="1"/>
  <c r="AK13" i="7" s="1"/>
  <c r="V12" i="7"/>
  <c r="AC12" i="7" s="1"/>
  <c r="T13" i="7"/>
  <c r="U13" i="7"/>
  <c r="AB13" i="7" s="1"/>
  <c r="W13" i="7"/>
  <c r="AD13" i="7" s="1"/>
  <c r="Y13" i="7"/>
  <c r="AF13" i="7" s="1"/>
  <c r="AJ13" i="7" s="1"/>
  <c r="U97" i="7"/>
  <c r="AB97" i="7" s="1"/>
  <c r="X86" i="7"/>
  <c r="AE86" i="7" s="1"/>
  <c r="X85" i="7"/>
  <c r="AE85" i="7" s="1"/>
  <c r="X66" i="7"/>
  <c r="AE66" i="7" s="1"/>
  <c r="Y51" i="7"/>
  <c r="AF51" i="7" s="1"/>
  <c r="AJ51" i="7" s="1"/>
  <c r="T25" i="7"/>
  <c r="U25" i="7"/>
  <c r="AB25" i="7" s="1"/>
  <c r="W25" i="7"/>
  <c r="AD25" i="7" s="1"/>
  <c r="Y25" i="7"/>
  <c r="AF25" i="7" s="1"/>
  <c r="AJ25" i="7" s="1"/>
  <c r="T55" i="7"/>
  <c r="W55" i="7"/>
  <c r="AD55" i="7" s="1"/>
  <c r="Y55" i="7"/>
  <c r="AF55" i="7" s="1"/>
  <c r="AJ55" i="7" s="1"/>
  <c r="X51" i="7"/>
  <c r="AE51" i="7" s="1"/>
  <c r="Z51" i="7"/>
  <c r="AG51" i="7" s="1"/>
  <c r="AK51" i="7" s="1"/>
  <c r="V51" i="7"/>
  <c r="AC51" i="7" s="1"/>
  <c r="Z42" i="7"/>
  <c r="AG42" i="7" s="1"/>
  <c r="AK42" i="7" s="1"/>
  <c r="U41" i="7"/>
  <c r="AB41" i="7" s="1"/>
  <c r="W41" i="7"/>
  <c r="AD41" i="7" s="1"/>
  <c r="Y41" i="7"/>
  <c r="AF41" i="7" s="1"/>
  <c r="AH41" i="7" s="1"/>
  <c r="AJ41" i="7" s="1"/>
  <c r="T41" i="7"/>
  <c r="X35" i="7"/>
  <c r="AE35" i="7" s="1"/>
  <c r="Z35" i="7"/>
  <c r="AG35" i="7" s="1"/>
  <c r="AK35" i="7" s="1"/>
  <c r="V35" i="7"/>
  <c r="AC35" i="7" s="1"/>
  <c r="U33" i="7"/>
  <c r="AB33" i="7" s="1"/>
  <c r="AK49" i="7"/>
  <c r="T35" i="7"/>
  <c r="U35" i="7"/>
  <c r="AB35" i="7" s="1"/>
  <c r="W35" i="7"/>
  <c r="AD35" i="7" s="1"/>
  <c r="W24" i="7"/>
  <c r="AD24" i="7" s="1"/>
  <c r="Y24" i="7"/>
  <c r="AF24" i="7" s="1"/>
  <c r="AJ24" i="7" s="1"/>
  <c r="T24" i="7"/>
  <c r="U24" i="7"/>
  <c r="AB24" i="7" s="1"/>
  <c r="W21" i="7"/>
  <c r="AD21" i="7" s="1"/>
  <c r="Y21" i="7"/>
  <c r="AF21" i="7" s="1"/>
  <c r="AJ21" i="7" s="1"/>
  <c r="T21" i="7"/>
  <c r="U21" i="7"/>
  <c r="AB21" i="7" s="1"/>
  <c r="I75" i="7"/>
  <c r="M75" i="7" s="1"/>
  <c r="V33" i="7"/>
  <c r="AC33" i="7" s="1"/>
  <c r="X33" i="7"/>
  <c r="AE33" i="7" s="1"/>
  <c r="Z33" i="7"/>
  <c r="AG33" i="7" s="1"/>
  <c r="AK33" i="7" s="1"/>
  <c r="X32" i="7"/>
  <c r="AE32" i="7" s="1"/>
  <c r="Z32" i="7"/>
  <c r="AG32" i="7" s="1"/>
  <c r="AK32" i="7" s="1"/>
  <c r="M27" i="7"/>
  <c r="Z18" i="7"/>
  <c r="AG18" i="7" s="1"/>
  <c r="AK18" i="7" s="1"/>
  <c r="V18" i="7"/>
  <c r="AC18" i="7" s="1"/>
  <c r="I14" i="7"/>
  <c r="M14" i="7" s="1"/>
  <c r="H15" i="7"/>
  <c r="V52" i="7"/>
  <c r="AC52" i="7" s="1"/>
  <c r="V44" i="7"/>
  <c r="AC44" i="7" s="1"/>
  <c r="V21" i="7"/>
  <c r="AC21" i="7" s="1"/>
  <c r="M66" i="7"/>
  <c r="G32" i="7"/>
  <c r="M58" i="7"/>
  <c r="Z26" i="7"/>
  <c r="AG26" i="7" s="1"/>
  <c r="AK26" i="7" s="1"/>
  <c r="Z23" i="7"/>
  <c r="AG23" i="7" s="1"/>
  <c r="AI23" i="7" s="1"/>
  <c r="AK23" i="7" s="1"/>
  <c r="Z14" i="7"/>
  <c r="AG14" i="7" s="1"/>
  <c r="AK14" i="7" s="1"/>
  <c r="I52" i="7"/>
  <c r="M52" i="7" s="1"/>
  <c r="H48" i="7"/>
  <c r="X26" i="7"/>
  <c r="AE26" i="7" s="1"/>
  <c r="X23" i="7"/>
  <c r="AE23" i="7" s="1"/>
  <c r="X14" i="7"/>
  <c r="AE14" i="7" s="1"/>
  <c r="O47" i="7"/>
  <c r="S47" i="7" s="1"/>
  <c r="U40" i="7"/>
  <c r="AB40" i="7" s="1"/>
  <c r="U39" i="7"/>
  <c r="AB39" i="7" s="1"/>
  <c r="W38" i="7" l="1"/>
  <c r="AD38" i="7" s="1"/>
  <c r="Y38" i="7"/>
  <c r="AF38" i="7" s="1"/>
  <c r="AJ38" i="7" s="1"/>
  <c r="T38" i="7"/>
  <c r="U38" i="7"/>
  <c r="AB38" i="7" s="1"/>
  <c r="M76" i="7"/>
  <c r="W39" i="7"/>
  <c r="AD39" i="7" s="1"/>
  <c r="V91" i="7"/>
  <c r="AC91" i="7" s="1"/>
  <c r="T91" i="7"/>
  <c r="X91" i="7"/>
  <c r="AE91" i="7" s="1"/>
  <c r="Z91" i="7"/>
  <c r="AG91" i="7" s="1"/>
  <c r="AK91" i="7" s="1"/>
  <c r="Z80" i="7"/>
  <c r="AG80" i="7" s="1"/>
  <c r="AK80" i="7" s="1"/>
  <c r="X81" i="7"/>
  <c r="AE81" i="7" s="1"/>
  <c r="V93" i="7"/>
  <c r="AC93" i="7" s="1"/>
  <c r="V81" i="7"/>
  <c r="AC81" i="7" s="1"/>
  <c r="T81" i="7"/>
  <c r="Y89" i="7"/>
  <c r="AF89" i="7" s="1"/>
  <c r="AJ89" i="7" s="1"/>
  <c r="W89" i="7"/>
  <c r="AD89" i="7" s="1"/>
  <c r="U18" i="7"/>
  <c r="AB18" i="7" s="1"/>
  <c r="U89" i="7"/>
  <c r="AB89" i="7" s="1"/>
  <c r="S20" i="7"/>
  <c r="T18" i="7"/>
  <c r="X80" i="7"/>
  <c r="AE80" i="7" s="1"/>
  <c r="Y18" i="7"/>
  <c r="AF18" i="7" s="1"/>
  <c r="AJ18" i="7" s="1"/>
  <c r="V80" i="7"/>
  <c r="AC80" i="7" s="1"/>
  <c r="Y32" i="7"/>
  <c r="AF32" i="7" s="1"/>
  <c r="AJ32" i="7" s="1"/>
  <c r="W32" i="7"/>
  <c r="AD32" i="7" s="1"/>
  <c r="X74" i="7"/>
  <c r="AE74" i="7" s="1"/>
  <c r="Z74" i="7"/>
  <c r="AG74" i="7" s="1"/>
  <c r="AK74" i="7" s="1"/>
  <c r="V74" i="7"/>
  <c r="AC74" i="7" s="1"/>
  <c r="U46" i="7"/>
  <c r="AB46" i="7" s="1"/>
  <c r="W46" i="7"/>
  <c r="AD46" i="7" s="1"/>
  <c r="Y46" i="7"/>
  <c r="AF46" i="7" s="1"/>
  <c r="AJ46" i="7" s="1"/>
  <c r="T46" i="7"/>
  <c r="T49" i="7"/>
  <c r="U49" i="7"/>
  <c r="AB49" i="7" s="1"/>
  <c r="W49" i="7"/>
  <c r="AD49" i="7" s="1"/>
  <c r="Y49" i="7"/>
  <c r="AF49" i="7" s="1"/>
  <c r="AJ49" i="7" s="1"/>
  <c r="U75" i="7"/>
  <c r="AB75" i="7" s="1"/>
  <c r="W75" i="7"/>
  <c r="AD75" i="7" s="1"/>
  <c r="Y75" i="7"/>
  <c r="AF75" i="7" s="1"/>
  <c r="AJ75" i="7" s="1"/>
  <c r="T75" i="7"/>
  <c r="U26" i="7"/>
  <c r="AB26" i="7" s="1"/>
  <c r="W26" i="7"/>
  <c r="AD26" i="7" s="1"/>
  <c r="Y26" i="7"/>
  <c r="AF26" i="7" s="1"/>
  <c r="AJ26" i="7" s="1"/>
  <c r="T26" i="7"/>
  <c r="Z15" i="7"/>
  <c r="AG15" i="7" s="1"/>
  <c r="AK15" i="7" s="1"/>
  <c r="V15" i="7"/>
  <c r="AC15" i="7" s="1"/>
  <c r="X15" i="7"/>
  <c r="AE15" i="7" s="1"/>
  <c r="W79" i="7"/>
  <c r="AD79" i="7" s="1"/>
  <c r="Y79" i="7"/>
  <c r="AF79" i="7" s="1"/>
  <c r="AJ79" i="7" s="1"/>
  <c r="T79" i="7"/>
  <c r="U79" i="7"/>
  <c r="AB79" i="7" s="1"/>
  <c r="T36" i="7"/>
  <c r="U36" i="7"/>
  <c r="AB36" i="7" s="1"/>
  <c r="W36" i="7"/>
  <c r="AD36" i="7" s="1"/>
  <c r="Y36" i="7"/>
  <c r="AF36" i="7" s="1"/>
  <c r="AJ36" i="7" s="1"/>
  <c r="U14" i="7"/>
  <c r="AB14" i="7" s="1"/>
  <c r="W14" i="7"/>
  <c r="AD14" i="7" s="1"/>
  <c r="Y14" i="7"/>
  <c r="AF14" i="7" s="1"/>
  <c r="AJ14" i="7" s="1"/>
  <c r="T14" i="7"/>
  <c r="U17" i="7"/>
  <c r="AB17" i="7" s="1"/>
  <c r="W17" i="7"/>
  <c r="AD17" i="7" s="1"/>
  <c r="Y17" i="7"/>
  <c r="AF17" i="7" s="1"/>
  <c r="AJ17" i="7" s="1"/>
  <c r="U23" i="7"/>
  <c r="AB23" i="7" s="1"/>
  <c r="W23" i="7"/>
  <c r="AD23" i="7" s="1"/>
  <c r="Y23" i="7"/>
  <c r="AF23" i="7" s="1"/>
  <c r="AH23" i="7" s="1"/>
  <c r="AJ23" i="7" s="1"/>
  <c r="T23" i="7"/>
  <c r="T59" i="7"/>
  <c r="W59" i="7"/>
  <c r="AD59" i="7" s="1"/>
  <c r="Y59" i="7"/>
  <c r="AF59" i="7" s="1"/>
  <c r="AJ59" i="7" s="1"/>
  <c r="U59" i="7"/>
  <c r="AB59" i="7" s="1"/>
  <c r="Y73" i="7"/>
  <c r="AF73" i="7" s="1"/>
  <c r="AJ73" i="7" s="1"/>
  <c r="T73" i="7"/>
  <c r="U73" i="7"/>
  <c r="AB73" i="7" s="1"/>
  <c r="W73" i="7"/>
  <c r="AD73" i="7" s="1"/>
  <c r="U58" i="7"/>
  <c r="AB58" i="7" s="1"/>
  <c r="W58" i="7"/>
  <c r="AD58" i="7" s="1"/>
  <c r="Y58" i="7"/>
  <c r="AF58" i="7" s="1"/>
  <c r="AJ58" i="7" s="1"/>
  <c r="T58" i="7"/>
  <c r="X99" i="7"/>
  <c r="AE99" i="7" s="1"/>
  <c r="Z99" i="7"/>
  <c r="AG99" i="7" s="1"/>
  <c r="AI99" i="7" s="1"/>
  <c r="V99" i="7"/>
  <c r="AC99" i="7" s="1"/>
  <c r="Z47" i="7"/>
  <c r="AG47" i="7" s="1"/>
  <c r="AK47" i="7" s="1"/>
  <c r="V47" i="7"/>
  <c r="AC47" i="7" s="1"/>
  <c r="X47" i="7"/>
  <c r="AE47" i="7" s="1"/>
  <c r="U66" i="7"/>
  <c r="AB66" i="7" s="1"/>
  <c r="T66" i="7"/>
  <c r="W66" i="7"/>
  <c r="AD66" i="7" s="1"/>
  <c r="Y66" i="7"/>
  <c r="AF66" i="7" s="1"/>
  <c r="AJ66" i="7" s="1"/>
  <c r="W77" i="7"/>
  <c r="AD77" i="7" s="1"/>
  <c r="Y77" i="7"/>
  <c r="AF77" i="7" s="1"/>
  <c r="AJ77" i="7" s="1"/>
  <c r="T77" i="7"/>
  <c r="U77" i="7"/>
  <c r="AB77" i="7" s="1"/>
  <c r="V48" i="7"/>
  <c r="AC48" i="7" s="1"/>
  <c r="X48" i="7"/>
  <c r="AE48" i="7" s="1"/>
  <c r="Z48" i="7"/>
  <c r="AG48" i="7" s="1"/>
  <c r="AK48" i="7" s="1"/>
  <c r="W27" i="7"/>
  <c r="AD27" i="7" s="1"/>
  <c r="Y27" i="7"/>
  <c r="AF27" i="7" s="1"/>
  <c r="AJ27" i="7" s="1"/>
  <c r="T27" i="7"/>
  <c r="U27" i="7"/>
  <c r="AB27" i="7" s="1"/>
  <c r="I47" i="7"/>
  <c r="M47" i="7" s="1"/>
  <c r="T95" i="7"/>
  <c r="U95" i="7"/>
  <c r="AB95" i="7" s="1"/>
  <c r="W95" i="7"/>
  <c r="AD95" i="7" s="1"/>
  <c r="Y95" i="7"/>
  <c r="AF95" i="7" s="1"/>
  <c r="AJ95" i="7" s="1"/>
  <c r="I74" i="7"/>
  <c r="M74" i="7" s="1"/>
  <c r="T16" i="7"/>
  <c r="U16" i="7"/>
  <c r="AB16" i="7" s="1"/>
  <c r="W16" i="7"/>
  <c r="AD16" i="7" s="1"/>
  <c r="Y16" i="7"/>
  <c r="AF16" i="7" s="1"/>
  <c r="AJ16" i="7" s="1"/>
  <c r="V95" i="7"/>
  <c r="AC95" i="7" s="1"/>
  <c r="X95" i="7"/>
  <c r="AE95" i="7" s="1"/>
  <c r="Z95" i="7"/>
  <c r="AG95" i="7" s="1"/>
  <c r="AK95" i="7" s="1"/>
  <c r="T99" i="7"/>
  <c r="T101" i="7"/>
  <c r="U101" i="7"/>
  <c r="AB101" i="7" s="1"/>
  <c r="Y101" i="7"/>
  <c r="AF101" i="7" s="1"/>
  <c r="AJ101" i="7" s="1"/>
  <c r="W101" i="7"/>
  <c r="AD101" i="7" s="1"/>
  <c r="T76" i="7"/>
  <c r="U76" i="7"/>
  <c r="AB76" i="7" s="1"/>
  <c r="W76" i="7"/>
  <c r="AD76" i="7" s="1"/>
  <c r="Y76" i="7"/>
  <c r="AF76" i="7" s="1"/>
  <c r="AJ76" i="7" s="1"/>
  <c r="X64" i="7"/>
  <c r="AE64" i="7" s="1"/>
  <c r="Z64" i="7"/>
  <c r="AG64" i="7" s="1"/>
  <c r="AI64" i="7" s="1"/>
  <c r="AK64" i="7" s="1"/>
  <c r="V64" i="7"/>
  <c r="AC64" i="7" s="1"/>
  <c r="V16" i="7"/>
  <c r="AC16" i="7" s="1"/>
  <c r="X16" i="7"/>
  <c r="AE16" i="7" s="1"/>
  <c r="Z16" i="7"/>
  <c r="AG16" i="7" s="1"/>
  <c r="AK16" i="7" s="1"/>
  <c r="AH99" i="7"/>
  <c r="AF103" i="7"/>
  <c r="I48" i="7"/>
  <c r="M48" i="7"/>
  <c r="I15" i="7"/>
  <c r="M15" i="7" s="1"/>
  <c r="H20" i="7"/>
  <c r="V20" i="7"/>
  <c r="AC20" i="7" s="1"/>
  <c r="X20" i="7"/>
  <c r="AE20" i="7" s="1"/>
  <c r="Z20" i="7"/>
  <c r="AG20" i="7" s="1"/>
  <c r="AK20" i="7" s="1"/>
  <c r="V45" i="7"/>
  <c r="AC45" i="7" s="1"/>
  <c r="X45" i="7"/>
  <c r="AE45" i="7" s="1"/>
  <c r="Z45" i="7"/>
  <c r="AG45" i="7" s="1"/>
  <c r="AK45" i="7" s="1"/>
  <c r="V22" i="7"/>
  <c r="AC22" i="7" s="1"/>
  <c r="X22" i="7"/>
  <c r="AE22" i="7" s="1"/>
  <c r="Z22" i="7"/>
  <c r="AG22" i="7" s="1"/>
  <c r="AK22" i="7" s="1"/>
  <c r="Q17" i="7"/>
  <c r="S17" i="7" s="1"/>
  <c r="X69" i="7"/>
  <c r="AE69" i="7" s="1"/>
  <c r="Z69" i="7"/>
  <c r="AG69" i="7" s="1"/>
  <c r="AK69" i="7" s="1"/>
  <c r="V69" i="7"/>
  <c r="AC69" i="7" s="1"/>
  <c r="U12" i="7"/>
  <c r="AB12" i="7" s="1"/>
  <c r="W12" i="7"/>
  <c r="AD12" i="7" s="1"/>
  <c r="Y12" i="7"/>
  <c r="AF12" i="7" s="1"/>
  <c r="T12" i="7"/>
  <c r="T45" i="7"/>
  <c r="U45" i="7"/>
  <c r="AB45" i="7" s="1"/>
  <c r="W45" i="7"/>
  <c r="AD45" i="7" s="1"/>
  <c r="Y45" i="7"/>
  <c r="AF45" i="7" s="1"/>
  <c r="AJ45" i="7" s="1"/>
  <c r="T69" i="7"/>
  <c r="W52" i="7"/>
  <c r="AD52" i="7" s="1"/>
  <c r="Y52" i="7"/>
  <c r="AF52" i="7" s="1"/>
  <c r="AJ52" i="7" s="1"/>
  <c r="T52" i="7"/>
  <c r="U52" i="7"/>
  <c r="AB52" i="7" s="1"/>
  <c r="I37" i="7"/>
  <c r="M37" i="7" s="1"/>
  <c r="X60" i="7"/>
  <c r="AE60" i="7" s="1"/>
  <c r="Z60" i="7"/>
  <c r="AG60" i="7" s="1"/>
  <c r="AK60" i="7" s="1"/>
  <c r="V60" i="7"/>
  <c r="AC60" i="7" s="1"/>
  <c r="I50" i="7"/>
  <c r="M50" i="7" s="1"/>
  <c r="T60" i="7"/>
  <c r="T64" i="7"/>
  <c r="W15" i="7" l="1"/>
  <c r="AD15" i="7" s="1"/>
  <c r="Y15" i="7"/>
  <c r="AF15" i="7" s="1"/>
  <c r="AJ15" i="7" s="1"/>
  <c r="T15" i="7"/>
  <c r="U15" i="7"/>
  <c r="AB15" i="7" s="1"/>
  <c r="V17" i="7"/>
  <c r="AC17" i="7" s="1"/>
  <c r="X17" i="7"/>
  <c r="AE17" i="7" s="1"/>
  <c r="Z17" i="7"/>
  <c r="AG17" i="7" s="1"/>
  <c r="AK17" i="7" s="1"/>
  <c r="AK102" i="7" s="1"/>
  <c r="T17" i="7"/>
  <c r="Y50" i="7"/>
  <c r="AF50" i="7" s="1"/>
  <c r="AJ50" i="7" s="1"/>
  <c r="T50" i="7"/>
  <c r="U50" i="7"/>
  <c r="AB50" i="7" s="1"/>
  <c r="W50" i="7"/>
  <c r="AD50" i="7" s="1"/>
  <c r="Y74" i="7"/>
  <c r="AF74" i="7" s="1"/>
  <c r="AJ74" i="7" s="1"/>
  <c r="T74" i="7"/>
  <c r="U74" i="7"/>
  <c r="AB74" i="7" s="1"/>
  <c r="W74" i="7"/>
  <c r="AD74" i="7" s="1"/>
  <c r="I20" i="7"/>
  <c r="M20" i="7" s="1"/>
  <c r="W47" i="7"/>
  <c r="AD47" i="7" s="1"/>
  <c r="Y47" i="7"/>
  <c r="AF47" i="7" s="1"/>
  <c r="AJ47" i="7" s="1"/>
  <c r="T47" i="7"/>
  <c r="U47" i="7"/>
  <c r="AB47" i="7" s="1"/>
  <c r="T48" i="7"/>
  <c r="U48" i="7"/>
  <c r="AB48" i="7" s="1"/>
  <c r="W48" i="7"/>
  <c r="AD48" i="7" s="1"/>
  <c r="Y48" i="7"/>
  <c r="AF48" i="7" s="1"/>
  <c r="AJ48" i="7" s="1"/>
  <c r="T37" i="7"/>
  <c r="U37" i="7"/>
  <c r="AB37" i="7" s="1"/>
  <c r="W37" i="7"/>
  <c r="AD37" i="7" s="1"/>
  <c r="Y37" i="7"/>
  <c r="AF37" i="7" s="1"/>
  <c r="AJ37" i="7" s="1"/>
  <c r="U20" i="7" l="1"/>
  <c r="AB20" i="7" s="1"/>
  <c r="W20" i="7"/>
  <c r="AD20" i="7" s="1"/>
  <c r="Y20" i="7"/>
  <c r="AF20" i="7" s="1"/>
  <c r="AJ20" i="7" s="1"/>
  <c r="AJ102" i="7" s="1"/>
  <c r="T20" i="7"/>
  <c r="P97" i="4" l="1"/>
  <c r="P53" i="4"/>
  <c r="P54" i="4"/>
  <c r="P44" i="4"/>
  <c r="P43" i="4"/>
  <c r="P23" i="4"/>
  <c r="AA23" i="4" s="1"/>
  <c r="T23" i="4"/>
  <c r="U23" i="4"/>
  <c r="S23" i="4"/>
  <c r="V23" i="4" l="1"/>
  <c r="W23" i="4" s="1"/>
  <c r="X23" i="4" s="1"/>
  <c r="Y23" i="4" s="1"/>
  <c r="Q54" i="4"/>
  <c r="Q53" i="4"/>
  <c r="Q44" i="4"/>
  <c r="Q43" i="4"/>
  <c r="Q23" i="4"/>
  <c r="S77" i="4" l="1"/>
  <c r="P77" i="4" s="1"/>
  <c r="Q77" i="4" s="1"/>
  <c r="T97" i="4"/>
  <c r="U97" i="4"/>
  <c r="V97" i="4"/>
  <c r="W97" i="4" s="1"/>
  <c r="X97" i="4" s="1"/>
  <c r="Y97" i="4" s="1"/>
  <c r="AA97" i="4"/>
  <c r="T98" i="4"/>
  <c r="U98" i="4"/>
  <c r="V98" i="4"/>
  <c r="W98" i="4" s="1"/>
  <c r="X98" i="4" s="1"/>
  <c r="Y98" i="4" s="1"/>
  <c r="AA98" i="4"/>
  <c r="P40" i="4" l="1"/>
  <c r="Q40" i="4" s="1"/>
  <c r="R31" i="4" l="1"/>
  <c r="S31" i="4"/>
  <c r="P31" i="4" s="1"/>
  <c r="Q31" i="4" s="1"/>
  <c r="T31" i="4"/>
  <c r="U31" i="4"/>
  <c r="I101" i="4"/>
  <c r="I102" i="4"/>
  <c r="I100" i="4"/>
  <c r="I97" i="4"/>
  <c r="I98" i="4"/>
  <c r="I34" i="4"/>
  <c r="I31" i="4"/>
  <c r="I45" i="4"/>
  <c r="I44" i="4"/>
  <c r="I60" i="4"/>
  <c r="I71" i="4"/>
  <c r="I70" i="4"/>
  <c r="I74" i="4"/>
  <c r="I75" i="4"/>
  <c r="I76" i="4"/>
  <c r="I77" i="4"/>
  <c r="I73" i="4"/>
  <c r="I104" i="4"/>
  <c r="P14" i="4" l="1"/>
  <c r="Q14" i="4" s="1"/>
  <c r="T66" i="4" l="1"/>
  <c r="G31" i="4" l="1"/>
  <c r="U105" i="4"/>
  <c r="T105" i="4"/>
  <c r="S105" i="4"/>
  <c r="P105" i="4" s="1"/>
  <c r="Q105" i="4" s="1"/>
  <c r="I105" i="4"/>
  <c r="G105" i="4"/>
  <c r="U104" i="4"/>
  <c r="R104" i="4" s="1"/>
  <c r="T104" i="4"/>
  <c r="S104" i="4"/>
  <c r="P104" i="4" s="1"/>
  <c r="Q104" i="4" s="1"/>
  <c r="G104" i="4"/>
  <c r="S102" i="4"/>
  <c r="G102" i="4"/>
  <c r="S101" i="4"/>
  <c r="G101" i="4"/>
  <c r="V100" i="4"/>
  <c r="W100" i="4" s="1"/>
  <c r="X100" i="4" s="1"/>
  <c r="Y100" i="4" s="1"/>
  <c r="S100" i="4"/>
  <c r="P100" i="4" s="1"/>
  <c r="Q100" i="4" s="1"/>
  <c r="G100" i="4"/>
  <c r="U96" i="4"/>
  <c r="T96" i="4"/>
  <c r="S96" i="4"/>
  <c r="P96" i="4" s="1"/>
  <c r="Q96" i="4" s="1"/>
  <c r="I96" i="4"/>
  <c r="G96" i="4"/>
  <c r="U95" i="4"/>
  <c r="T95" i="4"/>
  <c r="S95" i="4"/>
  <c r="P95" i="4" s="1"/>
  <c r="Q95" i="4" s="1"/>
  <c r="I95" i="4"/>
  <c r="G95" i="4"/>
  <c r="U94" i="4"/>
  <c r="T94" i="4"/>
  <c r="S94" i="4"/>
  <c r="P94" i="4" s="1"/>
  <c r="Q94" i="4" s="1"/>
  <c r="I94" i="4"/>
  <c r="G94" i="4"/>
  <c r="V93" i="4"/>
  <c r="W93" i="4" s="1"/>
  <c r="X93" i="4" s="1"/>
  <c r="Y93" i="4" s="1"/>
  <c r="U93" i="4"/>
  <c r="R93" i="4" s="1"/>
  <c r="T93" i="4"/>
  <c r="S93" i="4"/>
  <c r="P93" i="4" s="1"/>
  <c r="Q93" i="4" s="1"/>
  <c r="I93" i="4"/>
  <c r="G93" i="4"/>
  <c r="U92" i="4"/>
  <c r="R92" i="4" s="1"/>
  <c r="T92" i="4"/>
  <c r="S92" i="4"/>
  <c r="P92" i="4" s="1"/>
  <c r="Q92" i="4" s="1"/>
  <c r="I92" i="4"/>
  <c r="G92" i="4"/>
  <c r="U91" i="4"/>
  <c r="T91" i="4"/>
  <c r="S91" i="4"/>
  <c r="P91" i="4" s="1"/>
  <c r="Q91" i="4" s="1"/>
  <c r="I91" i="4"/>
  <c r="G91" i="4"/>
  <c r="U89" i="4"/>
  <c r="T89" i="4"/>
  <c r="S89" i="4"/>
  <c r="P89" i="4" s="1"/>
  <c r="Q89" i="4" s="1"/>
  <c r="I89" i="4"/>
  <c r="G89" i="4"/>
  <c r="V88" i="4"/>
  <c r="W88" i="4" s="1"/>
  <c r="X88" i="4" s="1"/>
  <c r="Y88" i="4" s="1"/>
  <c r="U88" i="4"/>
  <c r="R88" i="4" s="1"/>
  <c r="T88" i="4"/>
  <c r="S88" i="4"/>
  <c r="P88" i="4" s="1"/>
  <c r="Q88" i="4" s="1"/>
  <c r="I88" i="4"/>
  <c r="G88" i="4"/>
  <c r="U87" i="4"/>
  <c r="R87" i="4" s="1"/>
  <c r="T87" i="4"/>
  <c r="S87" i="4"/>
  <c r="P87" i="4" s="1"/>
  <c r="Q87" i="4" s="1"/>
  <c r="I87" i="4"/>
  <c r="G87" i="4"/>
  <c r="U86" i="4"/>
  <c r="T86" i="4"/>
  <c r="S86" i="4"/>
  <c r="P86" i="4" s="1"/>
  <c r="Q86" i="4" s="1"/>
  <c r="I86" i="4"/>
  <c r="G86" i="4"/>
  <c r="V84" i="4"/>
  <c r="W84" i="4" s="1"/>
  <c r="X84" i="4" s="1"/>
  <c r="Y84" i="4" s="1"/>
  <c r="U84" i="4"/>
  <c r="R84" i="4" s="1"/>
  <c r="T84" i="4"/>
  <c r="S84" i="4"/>
  <c r="P84" i="4" s="1"/>
  <c r="Q84" i="4" s="1"/>
  <c r="I84" i="4"/>
  <c r="G84" i="4"/>
  <c r="U83" i="4"/>
  <c r="T83" i="4"/>
  <c r="S83" i="4"/>
  <c r="P83" i="4" s="1"/>
  <c r="Q83" i="4" s="1"/>
  <c r="I83" i="4"/>
  <c r="G83" i="4"/>
  <c r="V82" i="4"/>
  <c r="W82" i="4" s="1"/>
  <c r="X82" i="4" s="1"/>
  <c r="Y82" i="4" s="1"/>
  <c r="U82" i="4"/>
  <c r="R82" i="4" s="1"/>
  <c r="T82" i="4"/>
  <c r="S82" i="4"/>
  <c r="P82" i="4" s="1"/>
  <c r="Q82" i="4" s="1"/>
  <c r="I82" i="4"/>
  <c r="G82" i="4"/>
  <c r="U81" i="4"/>
  <c r="T81" i="4"/>
  <c r="S81" i="4"/>
  <c r="P81" i="4" s="1"/>
  <c r="Q81" i="4" s="1"/>
  <c r="I81" i="4"/>
  <c r="G81" i="4"/>
  <c r="V80" i="4"/>
  <c r="W80" i="4" s="1"/>
  <c r="X80" i="4" s="1"/>
  <c r="Y80" i="4" s="1"/>
  <c r="U80" i="4"/>
  <c r="T80" i="4"/>
  <c r="S80" i="4"/>
  <c r="P80" i="4" s="1"/>
  <c r="Q80" i="4" s="1"/>
  <c r="R80" i="4"/>
  <c r="I80" i="4"/>
  <c r="G80" i="4"/>
  <c r="V79" i="4"/>
  <c r="W79" i="4" s="1"/>
  <c r="X79" i="4" s="1"/>
  <c r="Y79" i="4" s="1"/>
  <c r="U79" i="4"/>
  <c r="R79" i="4" s="1"/>
  <c r="T79" i="4"/>
  <c r="S79" i="4"/>
  <c r="P79" i="4" s="1"/>
  <c r="Q79" i="4" s="1"/>
  <c r="I79" i="4"/>
  <c r="G79" i="4"/>
  <c r="V77" i="4"/>
  <c r="U77" i="4"/>
  <c r="T77" i="4"/>
  <c r="R77" i="4"/>
  <c r="G77" i="4"/>
  <c r="V76" i="4"/>
  <c r="W76" i="4" s="1"/>
  <c r="X76" i="4" s="1"/>
  <c r="Y76" i="4" s="1"/>
  <c r="U76" i="4"/>
  <c r="R76" i="4" s="1"/>
  <c r="T76" i="4"/>
  <c r="S76" i="4"/>
  <c r="P76" i="4" s="1"/>
  <c r="Q76" i="4" s="1"/>
  <c r="G76" i="4"/>
  <c r="U75" i="4"/>
  <c r="T75" i="4"/>
  <c r="S75" i="4"/>
  <c r="P75" i="4" s="1"/>
  <c r="Q75" i="4" s="1"/>
  <c r="G75" i="4"/>
  <c r="V74" i="4"/>
  <c r="W74" i="4" s="1"/>
  <c r="X74" i="4" s="1"/>
  <c r="Y74" i="4" s="1"/>
  <c r="U74" i="4"/>
  <c r="R74" i="4" s="1"/>
  <c r="T74" i="4"/>
  <c r="S74" i="4"/>
  <c r="P74" i="4" s="1"/>
  <c r="Q74" i="4" s="1"/>
  <c r="G74" i="4"/>
  <c r="U73" i="4"/>
  <c r="T73" i="4"/>
  <c r="S73" i="4"/>
  <c r="P73" i="4" s="1"/>
  <c r="Q73" i="4" s="1"/>
  <c r="G73" i="4"/>
  <c r="U71" i="4"/>
  <c r="T71" i="4"/>
  <c r="S71" i="4"/>
  <c r="P71" i="4" s="1"/>
  <c r="Q71" i="4" s="1"/>
  <c r="G71" i="4"/>
  <c r="V70" i="4"/>
  <c r="W70" i="4" s="1"/>
  <c r="X70" i="4" s="1"/>
  <c r="Y70" i="4" s="1"/>
  <c r="U70" i="4"/>
  <c r="R70" i="4" s="1"/>
  <c r="T70" i="4"/>
  <c r="S70" i="4"/>
  <c r="P70" i="4" s="1"/>
  <c r="Q70" i="4" s="1"/>
  <c r="G70" i="4"/>
  <c r="U67" i="4"/>
  <c r="T67" i="4"/>
  <c r="S67" i="4"/>
  <c r="I67" i="4"/>
  <c r="G67" i="4"/>
  <c r="U66" i="4"/>
  <c r="S66" i="4"/>
  <c r="P66" i="4" s="1"/>
  <c r="Q66" i="4" s="1"/>
  <c r="I66" i="4"/>
  <c r="G66" i="4"/>
  <c r="U65" i="4"/>
  <c r="T65" i="4"/>
  <c r="S65" i="4"/>
  <c r="P65" i="4" s="1"/>
  <c r="Q65" i="4" s="1"/>
  <c r="I65" i="4"/>
  <c r="G65" i="4"/>
  <c r="U64" i="4"/>
  <c r="T64" i="4"/>
  <c r="S64" i="4"/>
  <c r="I64" i="4"/>
  <c r="P64" i="4" s="1"/>
  <c r="Q64" i="4" s="1"/>
  <c r="G64" i="4"/>
  <c r="S63" i="4"/>
  <c r="P63" i="4"/>
  <c r="G63" i="4"/>
  <c r="S62" i="4"/>
  <c r="P62" i="4"/>
  <c r="G62" i="4"/>
  <c r="S61" i="4"/>
  <c r="P61" i="4"/>
  <c r="G61" i="4"/>
  <c r="S60" i="4"/>
  <c r="P60" i="4" s="1"/>
  <c r="G60" i="4"/>
  <c r="S59" i="4"/>
  <c r="P59" i="4" s="1"/>
  <c r="I59" i="4"/>
  <c r="G59" i="4"/>
  <c r="U58" i="4"/>
  <c r="T58" i="4"/>
  <c r="S58" i="4"/>
  <c r="I58" i="4"/>
  <c r="G58" i="4"/>
  <c r="V57" i="4"/>
  <c r="W57" i="4" s="1"/>
  <c r="X57" i="4" s="1"/>
  <c r="Y57" i="4" s="1"/>
  <c r="U57" i="4"/>
  <c r="R57" i="4" s="1"/>
  <c r="T57" i="4"/>
  <c r="S57" i="4"/>
  <c r="P57" i="4" s="1"/>
  <c r="Q57" i="4" s="1"/>
  <c r="I57" i="4"/>
  <c r="G57" i="4"/>
  <c r="U56" i="4"/>
  <c r="T56" i="4"/>
  <c r="S56" i="4"/>
  <c r="P56" i="4" s="1"/>
  <c r="Q56" i="4" s="1"/>
  <c r="I56" i="4"/>
  <c r="G56" i="4"/>
  <c r="U55" i="4"/>
  <c r="T55" i="4"/>
  <c r="S55" i="4"/>
  <c r="I55" i="4"/>
  <c r="P55" i="4" s="1"/>
  <c r="Q55" i="4" s="1"/>
  <c r="G55" i="4"/>
  <c r="U54" i="4"/>
  <c r="T54" i="4"/>
  <c r="S54" i="4"/>
  <c r="I54" i="4"/>
  <c r="G54" i="4"/>
  <c r="U53" i="4"/>
  <c r="T53" i="4"/>
  <c r="S53" i="4"/>
  <c r="V53" i="4"/>
  <c r="W53" i="4" s="1"/>
  <c r="X53" i="4" s="1"/>
  <c r="Y53" i="4" s="1"/>
  <c r="I53" i="4"/>
  <c r="G53" i="4"/>
  <c r="U52" i="4"/>
  <c r="T52" i="4"/>
  <c r="S52" i="4"/>
  <c r="P52" i="4" s="1"/>
  <c r="Q52" i="4" s="1"/>
  <c r="V52" i="4"/>
  <c r="W52" i="4" s="1"/>
  <c r="X52" i="4" s="1"/>
  <c r="Y52" i="4" s="1"/>
  <c r="I52" i="4"/>
  <c r="G52" i="4"/>
  <c r="U51" i="4"/>
  <c r="T51" i="4"/>
  <c r="S51" i="4"/>
  <c r="P51" i="4" s="1"/>
  <c r="Q51" i="4" s="1"/>
  <c r="I51" i="4"/>
  <c r="G51" i="4"/>
  <c r="U50" i="4"/>
  <c r="T50" i="4"/>
  <c r="S50" i="4"/>
  <c r="P50" i="4" s="1"/>
  <c r="Q50" i="4" s="1"/>
  <c r="I50" i="4"/>
  <c r="G50" i="4"/>
  <c r="S49" i="4"/>
  <c r="P49" i="4" s="1"/>
  <c r="Q49" i="4" s="1"/>
  <c r="V49" i="4"/>
  <c r="W49" i="4" s="1"/>
  <c r="X49" i="4" s="1"/>
  <c r="Y49" i="4" s="1"/>
  <c r="I49" i="4"/>
  <c r="U48" i="4"/>
  <c r="T48" i="4"/>
  <c r="S48" i="4"/>
  <c r="I48" i="4"/>
  <c r="G48" i="4"/>
  <c r="U46" i="4"/>
  <c r="R46" i="4" s="1"/>
  <c r="T46" i="4"/>
  <c r="S46" i="4"/>
  <c r="P46" i="4" s="1"/>
  <c r="Q46" i="4" s="1"/>
  <c r="I46" i="4"/>
  <c r="G46" i="4"/>
  <c r="U45" i="4"/>
  <c r="T45" i="4"/>
  <c r="S45" i="4"/>
  <c r="P45" i="4" s="1"/>
  <c r="Q45" i="4" s="1"/>
  <c r="G45" i="4"/>
  <c r="V44" i="4"/>
  <c r="W44" i="4" s="1"/>
  <c r="X44" i="4" s="1"/>
  <c r="Y44" i="4" s="1"/>
  <c r="U44" i="4"/>
  <c r="R44" i="4" s="1"/>
  <c r="T44" i="4"/>
  <c r="S44" i="4"/>
  <c r="G44" i="4"/>
  <c r="V43" i="4"/>
  <c r="W43" i="4" s="1"/>
  <c r="X43" i="4" s="1"/>
  <c r="Y43" i="4" s="1"/>
  <c r="U43" i="4"/>
  <c r="R43" i="4" s="1"/>
  <c r="T43" i="4"/>
  <c r="S43" i="4"/>
  <c r="G43" i="4"/>
  <c r="V42" i="4"/>
  <c r="W42" i="4" s="1"/>
  <c r="X42" i="4" s="1"/>
  <c r="Y42" i="4" s="1"/>
  <c r="U42" i="4"/>
  <c r="T42" i="4"/>
  <c r="S42" i="4"/>
  <c r="P42" i="4" s="1"/>
  <c r="Q42" i="4" s="1"/>
  <c r="I42" i="4"/>
  <c r="G42" i="4"/>
  <c r="U41" i="4"/>
  <c r="T41" i="4"/>
  <c r="S41" i="4"/>
  <c r="P41" i="4" s="1"/>
  <c r="Q41" i="4" s="1"/>
  <c r="I41" i="4"/>
  <c r="G41" i="4"/>
  <c r="V40" i="4"/>
  <c r="W40" i="4" s="1"/>
  <c r="X40" i="4" s="1"/>
  <c r="Y40" i="4" s="1"/>
  <c r="U40" i="4"/>
  <c r="R40" i="4" s="1"/>
  <c r="T40" i="4"/>
  <c r="S40" i="4"/>
  <c r="I40" i="4"/>
  <c r="G40" i="4"/>
  <c r="U39" i="4"/>
  <c r="T39" i="4"/>
  <c r="S39" i="4"/>
  <c r="P39" i="4" s="1"/>
  <c r="Q39" i="4" s="1"/>
  <c r="I39" i="4"/>
  <c r="G39" i="4"/>
  <c r="V37" i="4"/>
  <c r="W37" i="4" s="1"/>
  <c r="X37" i="4" s="1"/>
  <c r="Y37" i="4" s="1"/>
  <c r="U37" i="4"/>
  <c r="R37" i="4" s="1"/>
  <c r="T37" i="4"/>
  <c r="S37" i="4"/>
  <c r="P37" i="4" s="1"/>
  <c r="Q37" i="4" s="1"/>
  <c r="I37" i="4"/>
  <c r="G37" i="4"/>
  <c r="V36" i="4"/>
  <c r="W36" i="4" s="1"/>
  <c r="X36" i="4" s="1"/>
  <c r="Y36" i="4" s="1"/>
  <c r="U36" i="4"/>
  <c r="T36" i="4"/>
  <c r="S36" i="4"/>
  <c r="P36" i="4" s="1"/>
  <c r="Q36" i="4" s="1"/>
  <c r="I36" i="4"/>
  <c r="G36" i="4"/>
  <c r="V35" i="4"/>
  <c r="W35" i="4" s="1"/>
  <c r="X35" i="4" s="1"/>
  <c r="Y35" i="4" s="1"/>
  <c r="U35" i="4"/>
  <c r="R35" i="4" s="1"/>
  <c r="T35" i="4"/>
  <c r="S35" i="4"/>
  <c r="P35" i="4" s="1"/>
  <c r="Q35" i="4" s="1"/>
  <c r="I35" i="4"/>
  <c r="G35" i="4"/>
  <c r="T34" i="4"/>
  <c r="S34" i="4"/>
  <c r="G34" i="4"/>
  <c r="AA31" i="4"/>
  <c r="V31" i="4"/>
  <c r="U30" i="4"/>
  <c r="T30" i="4"/>
  <c r="S30" i="4"/>
  <c r="P30" i="4" s="1"/>
  <c r="Q30" i="4" s="1"/>
  <c r="I30" i="4"/>
  <c r="G30" i="4"/>
  <c r="U29" i="4"/>
  <c r="T29" i="4"/>
  <c r="S29" i="4"/>
  <c r="P29" i="4" s="1"/>
  <c r="Q29" i="4" s="1"/>
  <c r="I29" i="4"/>
  <c r="G29" i="4"/>
  <c r="V28" i="4"/>
  <c r="W28" i="4" s="1"/>
  <c r="X28" i="4" s="1"/>
  <c r="Y28" i="4" s="1"/>
  <c r="U28" i="4"/>
  <c r="T28" i="4"/>
  <c r="S28" i="4"/>
  <c r="P28" i="4" s="1"/>
  <c r="Q28" i="4" s="1"/>
  <c r="I28" i="4"/>
  <c r="G28" i="4"/>
  <c r="S27" i="4"/>
  <c r="P27" i="4" s="1"/>
  <c r="I27" i="4"/>
  <c r="G27" i="4"/>
  <c r="U26" i="4"/>
  <c r="T26" i="4"/>
  <c r="S26" i="4"/>
  <c r="P26" i="4" s="1"/>
  <c r="Q26" i="4" s="1"/>
  <c r="R26" i="4"/>
  <c r="I26" i="4"/>
  <c r="G26" i="4"/>
  <c r="V25" i="4"/>
  <c r="W25" i="4" s="1"/>
  <c r="X25" i="4" s="1"/>
  <c r="Y25" i="4" s="1"/>
  <c r="U25" i="4"/>
  <c r="T25" i="4"/>
  <c r="S25" i="4"/>
  <c r="P25" i="4" s="1"/>
  <c r="Q25" i="4" s="1"/>
  <c r="I25" i="4"/>
  <c r="G25" i="4"/>
  <c r="R23" i="4"/>
  <c r="G23" i="4"/>
  <c r="U22" i="4"/>
  <c r="T22" i="4"/>
  <c r="S22" i="4"/>
  <c r="I22" i="4"/>
  <c r="P22" i="4" s="1"/>
  <c r="Q22" i="4" s="1"/>
  <c r="G22" i="4"/>
  <c r="U21" i="4"/>
  <c r="T21" i="4"/>
  <c r="S21" i="4"/>
  <c r="P21" i="4" s="1"/>
  <c r="Q21" i="4" s="1"/>
  <c r="I21" i="4"/>
  <c r="G21" i="4"/>
  <c r="U20" i="4"/>
  <c r="R20" i="4" s="1"/>
  <c r="T20" i="4"/>
  <c r="S20" i="4"/>
  <c r="P20" i="4" s="1"/>
  <c r="Q20" i="4" s="1"/>
  <c r="I20" i="4"/>
  <c r="G20" i="4"/>
  <c r="U19" i="4"/>
  <c r="T19" i="4"/>
  <c r="S19" i="4"/>
  <c r="I19" i="4"/>
  <c r="G19" i="4"/>
  <c r="U18" i="4"/>
  <c r="T18" i="4"/>
  <c r="S18" i="4"/>
  <c r="P18" i="4" s="1"/>
  <c r="Q18" i="4" s="1"/>
  <c r="I18" i="4"/>
  <c r="G18" i="4"/>
  <c r="V17" i="4"/>
  <c r="W17" i="4" s="1"/>
  <c r="X17" i="4" s="1"/>
  <c r="Y17" i="4" s="1"/>
  <c r="U17" i="4"/>
  <c r="T17" i="4"/>
  <c r="S17" i="4"/>
  <c r="P17" i="4" s="1"/>
  <c r="Q17" i="4" s="1"/>
  <c r="I17" i="4"/>
  <c r="G17" i="4"/>
  <c r="U16" i="4"/>
  <c r="T16" i="4"/>
  <c r="S16" i="4"/>
  <c r="P16" i="4" s="1"/>
  <c r="Q16" i="4" s="1"/>
  <c r="I16" i="4"/>
  <c r="G16" i="4"/>
  <c r="V15" i="4"/>
  <c r="W15" i="4" s="1"/>
  <c r="X15" i="4" s="1"/>
  <c r="Y15" i="4" s="1"/>
  <c r="U15" i="4"/>
  <c r="T15" i="4"/>
  <c r="S15" i="4"/>
  <c r="P15" i="4" s="1"/>
  <c r="Q15" i="4" s="1"/>
  <c r="I15" i="4"/>
  <c r="G15" i="4"/>
  <c r="U14" i="4"/>
  <c r="T14" i="4"/>
  <c r="S14" i="4"/>
  <c r="V14" i="4"/>
  <c r="W14" i="4" s="1"/>
  <c r="X14" i="4" s="1"/>
  <c r="Y14" i="4" s="1"/>
  <c r="G14" i="4"/>
  <c r="R15" i="4" l="1"/>
  <c r="R17" i="4"/>
  <c r="R25" i="4"/>
  <c r="R28" i="4"/>
  <c r="V34" i="4"/>
  <c r="W34" i="4" s="1"/>
  <c r="X34" i="4" s="1"/>
  <c r="Y34" i="4" s="1"/>
  <c r="P34" i="4"/>
  <c r="Q34" i="4" s="1"/>
  <c r="R36" i="4"/>
  <c r="R42" i="4"/>
  <c r="V45" i="4"/>
  <c r="W45" i="4" s="1"/>
  <c r="X45" i="4" s="1"/>
  <c r="Y45" i="4" s="1"/>
  <c r="V56" i="4"/>
  <c r="W56" i="4" s="1"/>
  <c r="X56" i="4" s="1"/>
  <c r="Y56" i="4" s="1"/>
  <c r="Q60" i="4"/>
  <c r="V60" i="4"/>
  <c r="W60" i="4" s="1"/>
  <c r="X60" i="4" s="1"/>
  <c r="Y60" i="4" s="1"/>
  <c r="Q63" i="4"/>
  <c r="V63" i="4"/>
  <c r="W63" i="4" s="1"/>
  <c r="X63" i="4" s="1"/>
  <c r="Y63" i="4" s="1"/>
  <c r="V66" i="4"/>
  <c r="W66" i="4" s="1"/>
  <c r="X66" i="4" s="1"/>
  <c r="Y66" i="4" s="1"/>
  <c r="V71" i="4"/>
  <c r="W71" i="4" s="1"/>
  <c r="X71" i="4" s="1"/>
  <c r="Y71" i="4" s="1"/>
  <c r="V73" i="4"/>
  <c r="W73" i="4" s="1"/>
  <c r="X73" i="4" s="1"/>
  <c r="Y73" i="4" s="1"/>
  <c r="V75" i="4"/>
  <c r="W75" i="4" s="1"/>
  <c r="X75" i="4" s="1"/>
  <c r="Y75" i="4" s="1"/>
  <c r="AA86" i="4"/>
  <c r="V89" i="4"/>
  <c r="W89" i="4" s="1"/>
  <c r="X89" i="4" s="1"/>
  <c r="Y89" i="4" s="1"/>
  <c r="AA91" i="4"/>
  <c r="V94" i="4"/>
  <c r="W94" i="4" s="1"/>
  <c r="X94" i="4" s="1"/>
  <c r="Y94" i="4" s="1"/>
  <c r="AA95" i="4"/>
  <c r="V105" i="4"/>
  <c r="W105" i="4" s="1"/>
  <c r="X105" i="4" s="1"/>
  <c r="Y105" i="4" s="1"/>
  <c r="R48" i="4"/>
  <c r="P48" i="4"/>
  <c r="Q48" i="4" s="1"/>
  <c r="P58" i="4"/>
  <c r="Q58" i="4" s="1"/>
  <c r="Q62" i="4"/>
  <c r="V62" i="4"/>
  <c r="W62" i="4" s="1"/>
  <c r="X62" i="4" s="1"/>
  <c r="Y62" i="4" s="1"/>
  <c r="AA73" i="4"/>
  <c r="AA75" i="4"/>
  <c r="AA89" i="4"/>
  <c r="AA94" i="4"/>
  <c r="P102" i="4"/>
  <c r="Q102" i="4" s="1"/>
  <c r="AA15" i="4"/>
  <c r="AA17" i="4"/>
  <c r="P19" i="4"/>
  <c r="Q19" i="4" s="1"/>
  <c r="Q106" i="4" s="1"/>
  <c r="V20" i="4"/>
  <c r="W20" i="4" s="1"/>
  <c r="X20" i="4" s="1"/>
  <c r="Y20" i="4" s="1"/>
  <c r="AA25" i="4"/>
  <c r="AA28" i="4"/>
  <c r="V46" i="4"/>
  <c r="W46" i="4" s="1"/>
  <c r="X46" i="4" s="1"/>
  <c r="Y46" i="4" s="1"/>
  <c r="Q59" i="4"/>
  <c r="V59" i="4"/>
  <c r="W59" i="4" s="1"/>
  <c r="X59" i="4" s="1"/>
  <c r="Y59" i="4" s="1"/>
  <c r="Q61" i="4"/>
  <c r="V61" i="4"/>
  <c r="W61" i="4" s="1"/>
  <c r="X61" i="4" s="1"/>
  <c r="Y61" i="4" s="1"/>
  <c r="V67" i="4"/>
  <c r="W67" i="4" s="1"/>
  <c r="X67" i="4" s="1"/>
  <c r="Y67" i="4" s="1"/>
  <c r="P67" i="4"/>
  <c r="Q67" i="4" s="1"/>
  <c r="R81" i="4"/>
  <c r="R83" i="4"/>
  <c r="R86" i="4"/>
  <c r="V87" i="4"/>
  <c r="W87" i="4" s="1"/>
  <c r="X87" i="4" s="1"/>
  <c r="Y87" i="4" s="1"/>
  <c r="AA88" i="4"/>
  <c r="R91" i="4"/>
  <c r="V92" i="4"/>
  <c r="W92" i="4" s="1"/>
  <c r="X92" i="4" s="1"/>
  <c r="Y92" i="4" s="1"/>
  <c r="AA93" i="4"/>
  <c r="R95" i="4"/>
  <c r="V104" i="4"/>
  <c r="W104" i="4" s="1"/>
  <c r="X104" i="4" s="1"/>
  <c r="Y104" i="4" s="1"/>
  <c r="AA20" i="4"/>
  <c r="Q27" i="4"/>
  <c r="AA27" i="4"/>
  <c r="V27" i="4"/>
  <c r="W27" i="4" s="1"/>
  <c r="X27" i="4" s="1"/>
  <c r="Y27" i="4" s="1"/>
  <c r="R45" i="4"/>
  <c r="R56" i="4"/>
  <c r="R66" i="4"/>
  <c r="R73" i="4"/>
  <c r="AA74" i="4"/>
  <c r="R75" i="4"/>
  <c r="AA76" i="4"/>
  <c r="V81" i="4"/>
  <c r="W81" i="4" s="1"/>
  <c r="X81" i="4" s="1"/>
  <c r="Y81" i="4" s="1"/>
  <c r="V83" i="4"/>
  <c r="W83" i="4" s="1"/>
  <c r="X83" i="4" s="1"/>
  <c r="Y83" i="4" s="1"/>
  <c r="V86" i="4"/>
  <c r="W86" i="4" s="1"/>
  <c r="X86" i="4" s="1"/>
  <c r="Y86" i="4" s="1"/>
  <c r="AA87" i="4"/>
  <c r="R89" i="4"/>
  <c r="V91" i="4"/>
  <c r="W91" i="4" s="1"/>
  <c r="X91" i="4" s="1"/>
  <c r="Y91" i="4" s="1"/>
  <c r="AA92" i="4"/>
  <c r="R94" i="4"/>
  <c r="V95" i="4"/>
  <c r="W95" i="4" s="1"/>
  <c r="X95" i="4" s="1"/>
  <c r="Y95" i="4" s="1"/>
  <c r="V96" i="4"/>
  <c r="W96" i="4" s="1"/>
  <c r="X96" i="4" s="1"/>
  <c r="Y96" i="4" s="1"/>
  <c r="V101" i="4"/>
  <c r="W101" i="4" s="1"/>
  <c r="X101" i="4" s="1"/>
  <c r="Y101" i="4" s="1"/>
  <c r="P101" i="4"/>
  <c r="Q101" i="4" s="1"/>
  <c r="R105" i="4"/>
  <c r="V26" i="4"/>
  <c r="W26" i="4" s="1"/>
  <c r="X26" i="4" s="1"/>
  <c r="Y26" i="4" s="1"/>
  <c r="R19" i="4"/>
  <c r="AA96" i="4"/>
  <c r="V18" i="4"/>
  <c r="W18" i="4" s="1"/>
  <c r="X18" i="4" s="1"/>
  <c r="Y18" i="4" s="1"/>
  <c r="AA18" i="4"/>
  <c r="V19" i="4"/>
  <c r="W19" i="4" s="1"/>
  <c r="X19" i="4" s="1"/>
  <c r="Y19" i="4" s="1"/>
  <c r="R18" i="4"/>
  <c r="V16" i="4"/>
  <c r="W16" i="4" s="1"/>
  <c r="X16" i="4" s="1"/>
  <c r="Y16" i="4" s="1"/>
  <c r="R16" i="4"/>
  <c r="AA16" i="4"/>
  <c r="V50" i="4"/>
  <c r="W50" i="4" s="1"/>
  <c r="X50" i="4" s="1"/>
  <c r="Y50" i="4" s="1"/>
  <c r="R50" i="4"/>
  <c r="V29" i="4"/>
  <c r="W29" i="4" s="1"/>
  <c r="X29" i="4" s="1"/>
  <c r="Y29" i="4" s="1"/>
  <c r="R29" i="4"/>
  <c r="AA29" i="4"/>
  <c r="R54" i="4"/>
  <c r="V54" i="4"/>
  <c r="W54" i="4" s="1"/>
  <c r="X54" i="4" s="1"/>
  <c r="Y54" i="4" s="1"/>
  <c r="AA21" i="4"/>
  <c r="V21" i="4"/>
  <c r="W21" i="4" s="1"/>
  <c r="X21" i="4" s="1"/>
  <c r="Y21" i="4" s="1"/>
  <c r="R21" i="4"/>
  <c r="R55" i="4"/>
  <c r="V55" i="4"/>
  <c r="W55" i="4" s="1"/>
  <c r="X55" i="4" s="1"/>
  <c r="Y55" i="4" s="1"/>
  <c r="V65" i="4"/>
  <c r="W65" i="4" s="1"/>
  <c r="X65" i="4" s="1"/>
  <c r="Y65" i="4" s="1"/>
  <c r="R65" i="4"/>
  <c r="V30" i="4"/>
  <c r="W30" i="4" s="1"/>
  <c r="X30" i="4" s="1"/>
  <c r="Y30" i="4" s="1"/>
  <c r="R30" i="4"/>
  <c r="AA30" i="4"/>
  <c r="AA22" i="4"/>
  <c r="V22" i="4"/>
  <c r="W22" i="4" s="1"/>
  <c r="X22" i="4" s="1"/>
  <c r="Y22" i="4" s="1"/>
  <c r="R22" i="4"/>
  <c r="V51" i="4"/>
  <c r="W51" i="4" s="1"/>
  <c r="X51" i="4" s="1"/>
  <c r="Y51" i="4" s="1"/>
  <c r="R51" i="4"/>
  <c r="V41" i="4"/>
  <c r="W41" i="4" s="1"/>
  <c r="X41" i="4" s="1"/>
  <c r="Y41" i="4" s="1"/>
  <c r="R41" i="4"/>
  <c r="V64" i="4"/>
  <c r="W64" i="4" s="1"/>
  <c r="X64" i="4" s="1"/>
  <c r="Y64" i="4" s="1"/>
  <c r="R64" i="4"/>
  <c r="R39" i="4"/>
  <c r="V39" i="4"/>
  <c r="W39" i="4" s="1"/>
  <c r="X39" i="4" s="1"/>
  <c r="Y39" i="4" s="1"/>
  <c r="V48" i="4"/>
  <c r="W48" i="4" s="1"/>
  <c r="X48" i="4" s="1"/>
  <c r="Y48" i="4" s="1"/>
  <c r="R53" i="4"/>
  <c r="R67" i="4"/>
  <c r="R71" i="4"/>
  <c r="R96" i="4"/>
  <c r="AA14" i="4"/>
  <c r="R52" i="4"/>
  <c r="R14" i="4"/>
  <c r="R58" i="4"/>
  <c r="AA26" i="4"/>
  <c r="AA19" i="4" l="1"/>
  <c r="V102" i="4"/>
  <c r="W102" i="4" s="1"/>
  <c r="X102" i="4" s="1"/>
  <c r="Y102" i="4" s="1"/>
  <c r="V58" i="4"/>
  <c r="W58" i="4" s="1"/>
  <c r="X58" i="4" s="1"/>
  <c r="Y58" i="4" s="1"/>
  <c r="R106" i="4"/>
  <c r="F85" i="4" l="1"/>
  <c r="F69" i="4" l="1"/>
  <c r="F78" i="4"/>
  <c r="F13" i="4"/>
  <c r="F24" i="4"/>
  <c r="F72" i="4"/>
  <c r="E24" i="4" l="1"/>
  <c r="G24" i="4" s="1"/>
  <c r="E69" i="4"/>
  <c r="G69" i="4" s="1"/>
  <c r="E85" i="4"/>
  <c r="G85" i="4" s="1"/>
  <c r="E78" i="4"/>
  <c r="G78" i="4" s="1"/>
  <c r="E72" i="4"/>
  <c r="G72" i="4" s="1"/>
  <c r="E13" i="4"/>
  <c r="G13" i="4" s="1"/>
</calcChain>
</file>

<file path=xl/comments1.xml><?xml version="1.0" encoding="utf-8"?>
<comments xmlns="http://schemas.openxmlformats.org/spreadsheetml/2006/main">
  <authors>
    <author>Буряк Дмитрий Эдуардович</author>
  </authors>
  <commentList>
    <comment ref="E13" authorId="0" shapeId="0">
      <text>
        <r>
          <rPr>
            <b/>
            <sz val="8"/>
            <color indexed="81"/>
            <rFont val="Tahoma"/>
            <family val="2"/>
            <charset val="204"/>
          </rPr>
          <t>Буряк Дмитрий Эдуардович:</t>
        </r>
        <r>
          <rPr>
            <sz val="8"/>
            <color indexed="81"/>
            <rFont val="Tahoma"/>
            <family val="2"/>
            <charset val="204"/>
          </rPr>
          <t xml:space="preserve">
Без ЛИАЗ и Волгабас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  <charset val="204"/>
          </rPr>
          <t>Буряк Дмитрий Эдуардович:</t>
        </r>
        <r>
          <rPr>
            <sz val="8"/>
            <color indexed="81"/>
            <rFont val="Tahoma"/>
            <family val="2"/>
            <charset val="204"/>
          </rPr>
          <t xml:space="preserve">
Без ПАЗ-32053</t>
        </r>
      </text>
    </comment>
    <comment ref="P27" authorId="0" shapeId="0">
      <text>
        <r>
          <rPr>
            <b/>
            <sz val="8"/>
            <color indexed="81"/>
            <rFont val="Tahoma"/>
            <family val="2"/>
            <charset val="204"/>
          </rPr>
          <t>Буряк Дмитрий Эдуардович:</t>
        </r>
        <r>
          <rPr>
            <sz val="8"/>
            <color indexed="81"/>
            <rFont val="Tahoma"/>
            <family val="2"/>
            <charset val="204"/>
          </rPr>
          <t xml:space="preserve">
c Vector next</t>
        </r>
      </text>
    </comment>
  </commentList>
</comments>
</file>

<file path=xl/sharedStrings.xml><?xml version="1.0" encoding="utf-8"?>
<sst xmlns="http://schemas.openxmlformats.org/spreadsheetml/2006/main" count="903" uniqueCount="496">
  <si>
    <t>Автобусы</t>
  </si>
  <si>
    <t>VOLGABUS</t>
  </si>
  <si>
    <t>ПАЗ VECTOR NEXT</t>
  </si>
  <si>
    <t>ZHONG TONG</t>
  </si>
  <si>
    <t>МАЗ 215069</t>
  </si>
  <si>
    <t>ГАЗ С41R33</t>
  </si>
  <si>
    <t>ГАЗ САЗ 2507</t>
  </si>
  <si>
    <t>VOLVO FH-TRUCK</t>
  </si>
  <si>
    <t>КАМАЗ 65206-Т5</t>
  </si>
  <si>
    <t>КАМАЗ 4308-G5</t>
  </si>
  <si>
    <t>МАЗ 5340Н3-470</t>
  </si>
  <si>
    <t>ДМК-65</t>
  </si>
  <si>
    <t>МАКАР 578276</t>
  </si>
  <si>
    <t>GAZelle NEXT</t>
  </si>
  <si>
    <t>ГАЗ 3302 1.6тн</t>
  </si>
  <si>
    <t>А 570 АХ</t>
  </si>
  <si>
    <t>О 671 АО</t>
  </si>
  <si>
    <t>О 321 АВ</t>
  </si>
  <si>
    <t>Н 004 УА</t>
  </si>
  <si>
    <t>Т 557 ВН</t>
  </si>
  <si>
    <t>Р 295 АВ</t>
  </si>
  <si>
    <t>ГАЗ 172412</t>
  </si>
  <si>
    <t>Т 183 ЕМ</t>
  </si>
  <si>
    <t>Т 494 ЕА</t>
  </si>
  <si>
    <t>С 355 АВ</t>
  </si>
  <si>
    <t>Р 753 СТ</t>
  </si>
  <si>
    <t>Р 747 СТ</t>
  </si>
  <si>
    <t>SKODA RAPID</t>
  </si>
  <si>
    <t>INFINITI QX80</t>
  </si>
  <si>
    <t>EXEED TXL</t>
  </si>
  <si>
    <t>Спецтехника</t>
  </si>
  <si>
    <t>BOBCAT S570</t>
  </si>
  <si>
    <t>06 40 КР</t>
  </si>
  <si>
    <t>БЕЛАРУС 1221.3</t>
  </si>
  <si>
    <t>БЕЛАРУС 1523</t>
  </si>
  <si>
    <t>БЕЛАРУС 952.3</t>
  </si>
  <si>
    <t>57 29 КМ</t>
  </si>
  <si>
    <t>57 10 КМ</t>
  </si>
  <si>
    <t>77 17 КЕ</t>
  </si>
  <si>
    <t>В 622 АЕ</t>
  </si>
  <si>
    <t>ПКС-55713-1К-3</t>
  </si>
  <si>
    <t>ПМС-328-05</t>
  </si>
  <si>
    <t>Автобусы большой длины</t>
  </si>
  <si>
    <t>Автобусы малой длины</t>
  </si>
  <si>
    <t>Автовышки</t>
  </si>
  <si>
    <t>Грузоподъемные механизмы</t>
  </si>
  <si>
    <t>Дорожно-строительная техника</t>
  </si>
  <si>
    <t>Грузовые а/м  г/п до 1,5 тн</t>
  </si>
  <si>
    <t>Газели</t>
  </si>
  <si>
    <t>Грузовые а/м  г/п от 3 тн до 7 тн</t>
  </si>
  <si>
    <t>Грузовые а/м  г/п от 8 тн</t>
  </si>
  <si>
    <t>Длинномеры</t>
  </si>
  <si>
    <t>Легковой транспорт</t>
  </si>
  <si>
    <t>Рефрижератор</t>
  </si>
  <si>
    <t>"Утверждаю"</t>
  </si>
  <si>
    <t>Зам. генерального директора</t>
  </si>
  <si>
    <t>по экономике и финансам</t>
  </si>
  <si>
    <t>КАО "Азот"</t>
  </si>
  <si>
    <t>№ п/п</t>
  </si>
  <si>
    <t>Наименование авто</t>
  </si>
  <si>
    <t>Фактическая с/с за 2021 год</t>
  </si>
  <si>
    <t>Отклонения, %</t>
  </si>
  <si>
    <t>рента</t>
  </si>
  <si>
    <t>увеличение С/С на 50%</t>
  </si>
  <si>
    <t>предполаг
20%</t>
  </si>
  <si>
    <t>I</t>
  </si>
  <si>
    <t>ЛИАЗ-677</t>
  </si>
  <si>
    <t>НефАЗ 5299 (45 мест)</t>
  </si>
  <si>
    <t>КАВЗ-АВРОРА (35 мест)</t>
  </si>
  <si>
    <t>МАЗ 103 (41 место)</t>
  </si>
  <si>
    <t>МАЗ 107 (43 мест, общая вместимость 140 чел)</t>
  </si>
  <si>
    <t>ПАЗ 4234 (30 мест)</t>
  </si>
  <si>
    <t>KING LONG</t>
  </si>
  <si>
    <t>-</t>
  </si>
  <si>
    <t>II</t>
  </si>
  <si>
    <t>Toyota Hiace</t>
  </si>
  <si>
    <t xml:space="preserve">MERCEDES-BENZ </t>
  </si>
  <si>
    <t>ПАЗ-32053, ПАЗ-3205</t>
  </si>
  <si>
    <t>ГАЗ 27322F (Лаборатория)</t>
  </si>
  <si>
    <t>УАЗ-39629</t>
  </si>
  <si>
    <t>Луидор-2250A7</t>
  </si>
  <si>
    <t>III</t>
  </si>
  <si>
    <t>Автовышка h= 18 м</t>
  </si>
  <si>
    <t xml:space="preserve">Автовышка h= 24 м   </t>
  </si>
  <si>
    <t xml:space="preserve">Автовышка h= 28 м  </t>
  </si>
  <si>
    <t xml:space="preserve">Автовышка  h= 30 м </t>
  </si>
  <si>
    <t xml:space="preserve">Автокран  г/п до 16 тн.18м </t>
  </si>
  <si>
    <t>КС-55713 г/п 25тн, (21 м )</t>
  </si>
  <si>
    <t>Автокран  г/п 25тн, (28 м),  Автокран / вышка  г/п 25тн, (28 м)</t>
  </si>
  <si>
    <t>Автокран г/п 50 тн</t>
  </si>
  <si>
    <t>КМУ 10т (Длиномер)</t>
  </si>
  <si>
    <t>КМУ 6т.</t>
  </si>
  <si>
    <t>КМУ 3т</t>
  </si>
  <si>
    <t>V</t>
  </si>
  <si>
    <t>Трактор МТЗ 82.1, 80.1</t>
  </si>
  <si>
    <t>Трактор МТЗ 82.1 со щеткой</t>
  </si>
  <si>
    <t>МТЗ 1523</t>
  </si>
  <si>
    <t>ЧЕТРА</t>
  </si>
  <si>
    <t>МТЗ 82 (грейфер)</t>
  </si>
  <si>
    <t>Фронтальный погрузчик LG</t>
  </si>
  <si>
    <t>Погрузчик - экскаватор  New Holland</t>
  </si>
  <si>
    <t>Погрузчик - экскаватор  JCB</t>
  </si>
  <si>
    <t xml:space="preserve">Погрузчик - гидромолот JCB </t>
  </si>
  <si>
    <t>Погрузчик - буроям JCB, подача бурояма заказчику, ст-ть 1ч.</t>
  </si>
  <si>
    <t xml:space="preserve">        d бура 160 мм  1п/м</t>
  </si>
  <si>
    <t xml:space="preserve">        d бура 300 мм  1п/м</t>
  </si>
  <si>
    <t xml:space="preserve">        d бура 400 мм  1п/м</t>
  </si>
  <si>
    <t>Грейдер ГС 14.02</t>
  </si>
  <si>
    <t>МК-4512</t>
  </si>
  <si>
    <t>Грузовой транспорт</t>
  </si>
  <si>
    <t>VII</t>
  </si>
  <si>
    <t>Газели ГАЗ 3302 , 33023, 33021, 330232</t>
  </si>
  <si>
    <t>УАЗ -390995</t>
  </si>
  <si>
    <t>IX</t>
  </si>
  <si>
    <t>ГАЗ А22 R32</t>
  </si>
  <si>
    <t>X</t>
  </si>
  <si>
    <t>МАЗ-6312А9 (борт)</t>
  </si>
  <si>
    <t>МАЗ-5516W4 (сам)</t>
  </si>
  <si>
    <t>МАЗ-6312В5</t>
  </si>
  <si>
    <t>КАМАЗ 65115</t>
  </si>
  <si>
    <t>КАМАЗ-45143-42</t>
  </si>
  <si>
    <t>МАЗ-5340Н3-470</t>
  </si>
  <si>
    <t xml:space="preserve">МАЗ-6422 А8  </t>
  </si>
  <si>
    <t xml:space="preserve">МАЗ-6430 В9        </t>
  </si>
  <si>
    <t>XII</t>
  </si>
  <si>
    <t>Toyota Camry</t>
  </si>
  <si>
    <t>Toyota Hilux</t>
  </si>
  <si>
    <t>Renault Logan</t>
  </si>
  <si>
    <t>Nissan Almera</t>
  </si>
  <si>
    <t>KIA K5, Optima</t>
  </si>
  <si>
    <t>Трал</t>
  </si>
  <si>
    <t>XIII</t>
  </si>
  <si>
    <t xml:space="preserve">ТВЕРЬСТРОЙМАШ  99395Е    63 т (роспуск) </t>
  </si>
  <si>
    <t>ТВЕРЬСТРОЙМАШ 99394    54 т</t>
  </si>
  <si>
    <t>ЧМЗП 99865   38 т</t>
  </si>
  <si>
    <t>XIV</t>
  </si>
  <si>
    <t>Газ 172412</t>
  </si>
  <si>
    <t>ISUZU</t>
  </si>
  <si>
    <t>Начальника ПЭО</t>
  </si>
  <si>
    <t>Начальник управления автомобильного транспорта</t>
  </si>
  <si>
    <t>2022 Тариф 1 м/часа, руб. без НДС</t>
  </si>
  <si>
    <t>Фактическая с/с за 2022 год</t>
  </si>
  <si>
    <t>2022 сторона</t>
  </si>
  <si>
    <t>Предложения по цене на 2023</t>
  </si>
  <si>
    <t>Предложения по цене на 2023
увеличение на 30%</t>
  </si>
  <si>
    <t>ОМАЦ</t>
  </si>
  <si>
    <t>GEELY TUGELLA</t>
  </si>
  <si>
    <t>Стоимость стороны</t>
  </si>
  <si>
    <t>СибАвтоЛогистика</t>
  </si>
  <si>
    <t>Транспортная компания 42</t>
  </si>
  <si>
    <t>СкладСнаб</t>
  </si>
  <si>
    <t>ООО "Трал-Сиб"</t>
  </si>
  <si>
    <t>ИП Клюшкин Ю.В.</t>
  </si>
  <si>
    <t>____________Т.О. Король</t>
  </si>
  <si>
    <t>"___"_______________2023 г.</t>
  </si>
  <si>
    <t>Тарифы на оказание услуг машин и механизмов КАО "АЗОТ" на 2023 год</t>
  </si>
  <si>
    <t>СпецЭнергоМонтаж</t>
  </si>
  <si>
    <t>К 391 КУ</t>
  </si>
  <si>
    <t>А 242 ТН</t>
  </si>
  <si>
    <t>М 953 УО</t>
  </si>
  <si>
    <t>Р 150 АМ</t>
  </si>
  <si>
    <t>НефАЗ 5299</t>
  </si>
  <si>
    <t>АО 752</t>
  </si>
  <si>
    <t>АО 753</t>
  </si>
  <si>
    <t>АО 754</t>
  </si>
  <si>
    <t>АО 831</t>
  </si>
  <si>
    <t>АО 878</t>
  </si>
  <si>
    <t>С 200 АВ</t>
  </si>
  <si>
    <t>С 300 АВ</t>
  </si>
  <si>
    <t>М 009 АН</t>
  </si>
  <si>
    <t>М 008 АН</t>
  </si>
  <si>
    <t>А 009 ЕВ</t>
  </si>
  <si>
    <t>Волжанин</t>
  </si>
  <si>
    <t>АО 628</t>
  </si>
  <si>
    <t>АО 629</t>
  </si>
  <si>
    <t>КАВЗ</t>
  </si>
  <si>
    <t>В 345 ЕО</t>
  </si>
  <si>
    <t>ПАЗ-3205</t>
  </si>
  <si>
    <t>В 017 ТУ</t>
  </si>
  <si>
    <t>В 150 ТУ</t>
  </si>
  <si>
    <t>Газ 27322F (Лаборатория</t>
  </si>
  <si>
    <t>К 640 ВО</t>
  </si>
  <si>
    <t>ГАЗ</t>
  </si>
  <si>
    <t>У 757 КР</t>
  </si>
  <si>
    <t>М 177 МН</t>
  </si>
  <si>
    <t>НЗАС</t>
  </si>
  <si>
    <t>Р 499 РО</t>
  </si>
  <si>
    <t>УАЗ</t>
  </si>
  <si>
    <t>Р 326 НХ</t>
  </si>
  <si>
    <t>ПАЗ-32054</t>
  </si>
  <si>
    <t>Т 160 СЕ</t>
  </si>
  <si>
    <t>С 688 СЕ</t>
  </si>
  <si>
    <t>Луидор</t>
  </si>
  <si>
    <t>К 962 ВР</t>
  </si>
  <si>
    <t>Санитраный 27322Н</t>
  </si>
  <si>
    <t>Т 003 ЕН</t>
  </si>
  <si>
    <t>КАВЗ-АВРОРА</t>
  </si>
  <si>
    <t>Е 600 АМ</t>
  </si>
  <si>
    <t>М 003 АН</t>
  </si>
  <si>
    <t>М 004 АН</t>
  </si>
  <si>
    <t>М 005 АН</t>
  </si>
  <si>
    <t>М 006 АН</t>
  </si>
  <si>
    <t>ПАЗ</t>
  </si>
  <si>
    <t>М 300 АН</t>
  </si>
  <si>
    <t>М 500 АН</t>
  </si>
  <si>
    <t>М 616 АН</t>
  </si>
  <si>
    <t>ПАЗ НОВЫЙ</t>
  </si>
  <si>
    <t>МАЗ 107</t>
  </si>
  <si>
    <t>АО 961</t>
  </si>
  <si>
    <t>АО 962</t>
  </si>
  <si>
    <t>АО 963</t>
  </si>
  <si>
    <t>МАЗ 103</t>
  </si>
  <si>
    <t>Е 009 ВВ</t>
  </si>
  <si>
    <t>Е 010 ВВ</t>
  </si>
  <si>
    <t>ГАЗ-3307</t>
  </si>
  <si>
    <t>Р 739 ЕР</t>
  </si>
  <si>
    <t>ЗИЛ-433363</t>
  </si>
  <si>
    <t>Е 005 СТ</t>
  </si>
  <si>
    <t xml:space="preserve">ЗИЛ-431412    </t>
  </si>
  <si>
    <t>В 144 ЕС</t>
  </si>
  <si>
    <t>ЗИЛ-431518</t>
  </si>
  <si>
    <t>М 961 АК</t>
  </si>
  <si>
    <t>М 099 ЕЕ</t>
  </si>
  <si>
    <t>Автовышка НОВАЯ (28-35м)</t>
  </si>
  <si>
    <t>А/вышка2</t>
  </si>
  <si>
    <t xml:space="preserve">МАЗ-5337    </t>
  </si>
  <si>
    <t>Т 939 ЕР</t>
  </si>
  <si>
    <t>М 402 ТА</t>
  </si>
  <si>
    <t>В 442 НС</t>
  </si>
  <si>
    <t>В 621 АЕ</t>
  </si>
  <si>
    <t>Т 718 КМ</t>
  </si>
  <si>
    <t>МАЗ-630303</t>
  </si>
  <si>
    <t>А 008 РС</t>
  </si>
  <si>
    <t>КС-4372В (юргинец)</t>
  </si>
  <si>
    <t>58 29 КМ</t>
  </si>
  <si>
    <t>КС-55713-6К</t>
  </si>
  <si>
    <t>С 177 ВХ</t>
  </si>
  <si>
    <t>Н 360 ЕЕ</t>
  </si>
  <si>
    <t>А/КРАН НОВЫЙ (16тн)</t>
  </si>
  <si>
    <t>КРАН2</t>
  </si>
  <si>
    <t>МТЗ</t>
  </si>
  <si>
    <t>99 99 КУ</t>
  </si>
  <si>
    <t>БМ205</t>
  </si>
  <si>
    <t>66 59 КА</t>
  </si>
  <si>
    <t>Т150</t>
  </si>
  <si>
    <t>87 15 КХ</t>
  </si>
  <si>
    <t>Т170</t>
  </si>
  <si>
    <t>Б/н 11</t>
  </si>
  <si>
    <t>ТО18</t>
  </si>
  <si>
    <t>ЭО2626</t>
  </si>
  <si>
    <t>LongGong LG</t>
  </si>
  <si>
    <t>62 94 КУ</t>
  </si>
  <si>
    <t>74 47 КС</t>
  </si>
  <si>
    <t>ДТ-75</t>
  </si>
  <si>
    <t>б/н 9</t>
  </si>
  <si>
    <t>New Holland</t>
  </si>
  <si>
    <t>Фронтальный НОВЫЙ</t>
  </si>
  <si>
    <t>ДСТ1</t>
  </si>
  <si>
    <t xml:space="preserve">МАЗ-5337  АТЗ  </t>
  </si>
  <si>
    <t>Е 951 АР</t>
  </si>
  <si>
    <t>МАЗ-6312А8 с КМУ</t>
  </si>
  <si>
    <t>КМУ</t>
  </si>
  <si>
    <t>ГАЗ-2705</t>
  </si>
  <si>
    <t>Р 028 ЕЕ</t>
  </si>
  <si>
    <t>Е 035 ЕЕ</t>
  </si>
  <si>
    <t>Р 030 ЕЕ</t>
  </si>
  <si>
    <t>ГАЗ-3302</t>
  </si>
  <si>
    <t>А 802 КО</t>
  </si>
  <si>
    <t>ГАЗ-33021</t>
  </si>
  <si>
    <t>С 743 КН</t>
  </si>
  <si>
    <t>В 379 АК</t>
  </si>
  <si>
    <t>ГАЗ-33023</t>
  </si>
  <si>
    <t>А 803 КО</t>
  </si>
  <si>
    <t>ГАЗ-330210</t>
  </si>
  <si>
    <t>Х 009 СХ</t>
  </si>
  <si>
    <t>О 670 АО</t>
  </si>
  <si>
    <t>УАЗ -3303</t>
  </si>
  <si>
    <t>ГАЗ-330252</t>
  </si>
  <si>
    <t>Р 185 АО</t>
  </si>
  <si>
    <t>Т 164 СЕ</t>
  </si>
  <si>
    <t>О 831 ЕС</t>
  </si>
  <si>
    <t>М 448 ТК</t>
  </si>
  <si>
    <t>ГАЗЕЛЬ БОРТ (вместо 28)</t>
  </si>
  <si>
    <t>Газель1</t>
  </si>
  <si>
    <t>ГАЗЕЛЬ 5 МЕСТНАЯ (вместо 670)</t>
  </si>
  <si>
    <t>Газель2</t>
  </si>
  <si>
    <t>Hyundai Porter</t>
  </si>
  <si>
    <t>Н 733 РУ</t>
  </si>
  <si>
    <t>ГАЗ-3307 СМ1ш</t>
  </si>
  <si>
    <t>В 996 АЕ</t>
  </si>
  <si>
    <t>ГАЗ-САЗ-33072</t>
  </si>
  <si>
    <t>О 179 КА</t>
  </si>
  <si>
    <t>ГАЗ-5312</t>
  </si>
  <si>
    <t>М 683 АВ</t>
  </si>
  <si>
    <t>ЗИЛ-431412</t>
  </si>
  <si>
    <t>В 369 АМ</t>
  </si>
  <si>
    <t>ЗИЛ-43336</t>
  </si>
  <si>
    <t>Н 458 ЕК</t>
  </si>
  <si>
    <t>ЗИЛ-433360</t>
  </si>
  <si>
    <t>Т 822 КМ</t>
  </si>
  <si>
    <t>ЗИЛ-ММЗ-554М</t>
  </si>
  <si>
    <t>О 399 КА</t>
  </si>
  <si>
    <t>ЗИЛ-45085</t>
  </si>
  <si>
    <t>В 693 ЕХ</t>
  </si>
  <si>
    <t>среднее</t>
  </si>
  <si>
    <t>ЗИЛ-4505</t>
  </si>
  <si>
    <t>К 676 АА</t>
  </si>
  <si>
    <t>ГАЗ-52</t>
  </si>
  <si>
    <t>Т 015 КМ</t>
  </si>
  <si>
    <t>ЗИЛ ММЗ-4502</t>
  </si>
  <si>
    <t>В 687 АК</t>
  </si>
  <si>
    <t>О 447 КМ</t>
  </si>
  <si>
    <t>КАМАЗ-532020</t>
  </si>
  <si>
    <t>В 368 ВВ</t>
  </si>
  <si>
    <t>В 369 ВВ</t>
  </si>
  <si>
    <t>КАМАЗ-5320</t>
  </si>
  <si>
    <t>С 597 ВА</t>
  </si>
  <si>
    <t>Т 003 ХК</t>
  </si>
  <si>
    <t>В 779 НР</t>
  </si>
  <si>
    <t>М 736 ВА</t>
  </si>
  <si>
    <t>М 420 ЕН</t>
  </si>
  <si>
    <t>КАМАЗ-5511</t>
  </si>
  <si>
    <t>Р 387 ЕР</t>
  </si>
  <si>
    <t>КАМАЗ-55111</t>
  </si>
  <si>
    <t>М 442 ТА</t>
  </si>
  <si>
    <t>В 996 АК</t>
  </si>
  <si>
    <t>В 674 АК</t>
  </si>
  <si>
    <t>КАМАЗ-65115</t>
  </si>
  <si>
    <t>Е 506 ЕР</t>
  </si>
  <si>
    <t>МАЗ-53371-029</t>
  </si>
  <si>
    <t>О 678 АО</t>
  </si>
  <si>
    <t>МАЗ-5551</t>
  </si>
  <si>
    <t>О 685 ЕО</t>
  </si>
  <si>
    <t>Т 887 ЕР</t>
  </si>
  <si>
    <t>Маз-5516W4</t>
  </si>
  <si>
    <t>Р 747 СУ</t>
  </si>
  <si>
    <t>Маз-6312</t>
  </si>
  <si>
    <t>С 339 ЕЕ</t>
  </si>
  <si>
    <t>КАМАЗ БОРТ (12-15тн)</t>
  </si>
  <si>
    <t>Камаз1</t>
  </si>
  <si>
    <t>КАМАЗ С/СВАЛ (15тн)</t>
  </si>
  <si>
    <t>Камаз2</t>
  </si>
  <si>
    <t xml:space="preserve">КАМАЗ-54112А  </t>
  </si>
  <si>
    <t>Е 584 ЕС</t>
  </si>
  <si>
    <t xml:space="preserve">КАМАЗ-54115С   </t>
  </si>
  <si>
    <t>Р 799 РМ</t>
  </si>
  <si>
    <t xml:space="preserve">МАЗ-54323        </t>
  </si>
  <si>
    <t>В 360 ЕХ</t>
  </si>
  <si>
    <t xml:space="preserve">МАЗ-64229        </t>
  </si>
  <si>
    <t>М 290 МР</t>
  </si>
  <si>
    <t xml:space="preserve"> МАЗ-6422А8-330        </t>
  </si>
  <si>
    <t>В 015 ТУ</t>
  </si>
  <si>
    <t>В 016 ТУ</t>
  </si>
  <si>
    <t>МАЗ-6430В9</t>
  </si>
  <si>
    <t>Х 002 ВХ</t>
  </si>
  <si>
    <t>Х 066 ВХ</t>
  </si>
  <si>
    <t>УАЗ-315195</t>
  </si>
  <si>
    <t>Н 005 УА</t>
  </si>
  <si>
    <t>ГАЗ-3102</t>
  </si>
  <si>
    <t>Е 090 ЕЕ</t>
  </si>
  <si>
    <t>ГАЗ-31105</t>
  </si>
  <si>
    <t>Е 101 СХ</t>
  </si>
  <si>
    <t>С 730 ТС</t>
  </si>
  <si>
    <t>С 731 ТС</t>
  </si>
  <si>
    <t>С 732 ТС</t>
  </si>
  <si>
    <t>Т 008 НС</t>
  </si>
  <si>
    <t>ГАЗ-3110</t>
  </si>
  <si>
    <t>С 387 НА</t>
  </si>
  <si>
    <t>О 596 КА</t>
  </si>
  <si>
    <t>ВАЗ-21093</t>
  </si>
  <si>
    <t>У 692 НЕ</t>
  </si>
  <si>
    <t>Toyota Land Cruiser</t>
  </si>
  <si>
    <t>О 434 ОО</t>
  </si>
  <si>
    <t>О 017 ОО</t>
  </si>
  <si>
    <t>Р 037 РР</t>
  </si>
  <si>
    <t>Lexus LX 570</t>
  </si>
  <si>
    <t>Н 911 ВС</t>
  </si>
  <si>
    <t>М 049 МК</t>
  </si>
  <si>
    <t>А 876 АЕ</t>
  </si>
  <si>
    <t>А 877 АЕ</t>
  </si>
  <si>
    <t>А 878 АЕ</t>
  </si>
  <si>
    <t>Е 101 ОК</t>
  </si>
  <si>
    <t>М 590 ЕЕ</t>
  </si>
  <si>
    <t>Р 001 АА</t>
  </si>
  <si>
    <t>Toyota Avensis</t>
  </si>
  <si>
    <t>В 220 СН</t>
  </si>
  <si>
    <t>Mitsubisi Pajero IV</t>
  </si>
  <si>
    <t>Р 148 РР</t>
  </si>
  <si>
    <t>Skoda Rapid</t>
  </si>
  <si>
    <t>Е 579 ЕЕ</t>
  </si>
  <si>
    <t>Н 051 АТ</t>
  </si>
  <si>
    <t>Н 052 АТ</t>
  </si>
  <si>
    <t>Н 053 АТ</t>
  </si>
  <si>
    <t>С 911 ВХ</t>
  </si>
  <si>
    <t>У 100 ВХ</t>
  </si>
  <si>
    <t>У 160 ВХ</t>
  </si>
  <si>
    <t>У 119 ВХ</t>
  </si>
  <si>
    <t>К 595 ЕН</t>
  </si>
  <si>
    <t>К 596 ЕН</t>
  </si>
  <si>
    <t>К 597 ЕН</t>
  </si>
  <si>
    <t>М 540 ЕЕ</t>
  </si>
  <si>
    <t>С 749 КК</t>
  </si>
  <si>
    <t>В 750 ВХ</t>
  </si>
  <si>
    <t>А 911 ВС</t>
  </si>
  <si>
    <t>А 783 ВС</t>
  </si>
  <si>
    <t>Isuzu 47051A</t>
  </si>
  <si>
    <t>Е 586 ВА</t>
  </si>
  <si>
    <t>А 505 АХ</t>
  </si>
  <si>
    <t>О 788 УК</t>
  </si>
  <si>
    <t>Isuzu 3784ЕО</t>
  </si>
  <si>
    <t>Huyndai АФ47434А</t>
  </si>
  <si>
    <t>Х 007 ХА</t>
  </si>
  <si>
    <t>Отклонение тарифов 2023-2022</t>
  </si>
  <si>
    <t>ПАЗ-32053, ПАЗ-32054</t>
  </si>
  <si>
    <t xml:space="preserve">Автовышка h= 18 м  </t>
  </si>
  <si>
    <t>Автовышка h= 24 м</t>
  </si>
  <si>
    <t>Автовышка h= 28 м</t>
  </si>
  <si>
    <t>Автовышка  h= 30 м</t>
  </si>
  <si>
    <t>ГАЗ 3302 , 33023, 33021, 330232</t>
  </si>
  <si>
    <t>Грузовые а/м  г/п до 1,5 тн (+ газели)</t>
  </si>
  <si>
    <t>ГАЗ-172412</t>
  </si>
  <si>
    <t>ГАЗ САЗ 2705</t>
  </si>
  <si>
    <t>КамАЗ 45143-42</t>
  </si>
  <si>
    <t>Маз-6312А9-320 (борт)</t>
  </si>
  <si>
    <t>МАЗ-6422А8-330</t>
  </si>
  <si>
    <t>Маз-6430В9</t>
  </si>
  <si>
    <t>ТВЕРЬСТРОЙМАШ 99395Е 63 т</t>
  </si>
  <si>
    <t>ТВЕРЬСТРОЙМАШ 99394 54 т</t>
  </si>
  <si>
    <t>ЧМЗП 99865 38 т</t>
  </si>
  <si>
    <t>INFINITI</t>
  </si>
  <si>
    <t>КIA K5, Optima</t>
  </si>
  <si>
    <t>KIA</t>
  </si>
  <si>
    <t>Renault</t>
  </si>
  <si>
    <t>Легковые автомобили</t>
  </si>
  <si>
    <t>ТВЕРЬСТРОЙМАШ 99395Е 63 т (роспуск)</t>
  </si>
  <si>
    <t>КамАЗ 65206-Т5</t>
  </si>
  <si>
    <t xml:space="preserve">МАЗ-6422А8-330        </t>
  </si>
  <si>
    <t>Маз-6312А9-320</t>
  </si>
  <si>
    <t>Маз-6312В5</t>
  </si>
  <si>
    <t>МАЗ,КамАЗ</t>
  </si>
  <si>
    <t>Грузовые 3-7 тонн</t>
  </si>
  <si>
    <t>Isuzu 47051А, Isuzu 3784ЕО</t>
  </si>
  <si>
    <t>Грузовые 3-7тн (рефрижераторы, термобудки)</t>
  </si>
  <si>
    <t>Газели рефрижераторы</t>
  </si>
  <si>
    <t>УАЗ -3303, УАЗ -390995</t>
  </si>
  <si>
    <t>ГАЗ-33023, ГАЗ-330252</t>
  </si>
  <si>
    <t>ГАЗ-3302, ГАЗ-33021, ГАЗ-330210</t>
  </si>
  <si>
    <t xml:space="preserve">Фронтальный погрузчик LG-833 </t>
  </si>
  <si>
    <t>Беларус 1523</t>
  </si>
  <si>
    <t>Беларус 1221.3</t>
  </si>
  <si>
    <t>Беларус 952.3</t>
  </si>
  <si>
    <t>Трактор МТЗ 82.1</t>
  </si>
  <si>
    <t>Автокран г/п 50т</t>
  </si>
  <si>
    <t>ПАЗ-4234</t>
  </si>
  <si>
    <t>Автомобиль санитарный 27322Н</t>
  </si>
  <si>
    <t>Луидор-2250А7</t>
  </si>
  <si>
    <t>MERCEDES-BENZ</t>
  </si>
  <si>
    <t>Газ 27322F (Лаборатория)</t>
  </si>
  <si>
    <t>1 км руб. 
без НДС</t>
  </si>
  <si>
    <t>1мч руб. 
без НДС</t>
  </si>
  <si>
    <t>1 км руб. без НДС</t>
  </si>
  <si>
    <t>1мч руб. без НДС</t>
  </si>
  <si>
    <t>Итого</t>
  </si>
  <si>
    <t>ТО</t>
  </si>
  <si>
    <t>Масла</t>
  </si>
  <si>
    <t>Топливо</t>
  </si>
  <si>
    <t>Автошины</t>
  </si>
  <si>
    <t>Запчасти</t>
  </si>
  <si>
    <t>Общехозяйственные</t>
  </si>
  <si>
    <t>Прочие</t>
  </si>
  <si>
    <t>Амортиз/лизинг</t>
  </si>
  <si>
    <t>Страховые с ФЗП</t>
  </si>
  <si>
    <t>ФЗП</t>
  </si>
  <si>
    <t>Расход топлива, л</t>
  </si>
  <si>
    <t>Пробег</t>
  </si>
  <si>
    <t>Машиночасы</t>
  </si>
  <si>
    <t>Стоимость для сторонних организаций
2022</t>
  </si>
  <si>
    <t>Отклонение
%</t>
  </si>
  <si>
    <t>Стоимость для ЦПЗ
2022</t>
  </si>
  <si>
    <t>Стоимость ЦПЗ
2021</t>
  </si>
  <si>
    <t>Итого себестоимость поездки</t>
  </si>
  <si>
    <t>Переменные расходы, руб. без НДС</t>
  </si>
  <si>
    <t>Постоянные расходы, руб. без НДС</t>
  </si>
  <si>
    <t>Кемерово-Новосибирск-Кемерово</t>
  </si>
  <si>
    <t>Модель</t>
  </si>
  <si>
    <t>Группа транспорта</t>
  </si>
  <si>
    <t>Расчет тарифа на междугородние перевозки</t>
  </si>
  <si>
    <t>ПРАЙС
Услуги техники КАО "Азот" на междугородние перевозки, протяженностью свыше 200 км. 
для ООО "ЦПЗ"</t>
  </si>
  <si>
    <t>Стоимость 1 м/часа, руб. без НДС</t>
  </si>
  <si>
    <t>Начальник ПЭО</t>
  </si>
  <si>
    <t>Renault Stepway</t>
  </si>
  <si>
    <t>Викторова М.А.</t>
  </si>
  <si>
    <t>IV</t>
  </si>
  <si>
    <t>VI</t>
  </si>
  <si>
    <t>VIII</t>
  </si>
  <si>
    <t>XI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</si>
</sst>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₽_-;\-* #,##0.00\ _₽_-;_-* &quot;-&quot;??\ _₽_-;_-@_-"/>
    <numFmt numFmtId="166" formatCode="0.000000"/>
    <numFmt numFmtId="167" formatCode="#,##0\ _₽"/>
    <numFmt numFmtId="168" formatCode="0.0%"/>
    <numFmt numFmtId="169" formatCode="#,##0.0"/>
    <numFmt numFmtId="170" formatCode="0.0"/>
  </numFmts>
  <fonts count="48" x14ac:knownFonts="1">
    <font>
      <sz val="11"/>
      <color theme="1"/>
      <name val="Calibri"/>
      <family val="2"/>
      <charset val="204"/>
      <scheme val="minor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b/>
      <sz val="10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b/>
      <sz val="10"/>
      <color rgb="FF000000"/>
      <name val="Calibri Light"/>
      <family val="1"/>
      <charset val="204"/>
      <scheme val="maj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b/>
      <sz val="10"/>
      <color theme="1"/>
      <name val="Calibri"/>
      <family val="2"/>
      <charset val="204"/>
    </font>
    <font>
      <b/>
      <sz val="11"/>
      <color rgb="FF000000"/>
      <name val="Calibri Light"/>
      <family val="1"/>
      <charset val="204"/>
      <scheme val="major"/>
    </font>
    <font>
      <sz val="11"/>
      <color rgb="FFFF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Times New Roman Cyr"/>
      <charset val="204"/>
    </font>
    <font>
      <b/>
      <sz val="14"/>
      <color indexed="8"/>
      <name val="Times New Roman Cyr"/>
      <charset val="204"/>
    </font>
    <font>
      <b/>
      <sz val="11"/>
      <color indexed="8"/>
      <name val="Times New Roman Cyr"/>
      <charset val="204"/>
    </font>
    <font>
      <i/>
      <sz val="11"/>
      <color indexed="8"/>
      <name val="Times New Roman Cyr"/>
      <charset val="204"/>
    </font>
    <font>
      <sz val="14"/>
      <color indexed="8"/>
      <name val="Times New Roman Cyr"/>
      <charset val="204"/>
    </font>
    <font>
      <i/>
      <sz val="14"/>
      <color indexed="8"/>
      <name val="Times New Roman Cyr"/>
      <charset val="204"/>
    </font>
    <font>
      <sz val="14"/>
      <color indexed="8"/>
      <name val="Calibri Light"/>
      <family val="1"/>
      <charset val="204"/>
      <scheme val="major"/>
    </font>
    <font>
      <b/>
      <sz val="14"/>
      <color indexed="8"/>
      <name val="Calibri Light"/>
      <family val="1"/>
      <charset val="204"/>
      <scheme val="major"/>
    </font>
    <font>
      <i/>
      <sz val="14"/>
      <color indexed="8"/>
      <name val="Calibri Light"/>
      <family val="1"/>
      <charset val="204"/>
      <scheme val="major"/>
    </font>
    <font>
      <sz val="11"/>
      <color indexed="8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theme="0" tint="-0.34998626667073579"/>
      <name val="Calibri Light"/>
      <family val="1"/>
      <charset val="204"/>
      <scheme val="major"/>
    </font>
    <font>
      <sz val="11"/>
      <color indexed="8"/>
      <name val="Calibri Light"/>
      <family val="1"/>
      <charset val="204"/>
      <scheme val="major"/>
    </font>
    <font>
      <sz val="11"/>
      <name val="Calibri Light"/>
      <family val="1"/>
      <charset val="204"/>
      <scheme val="major"/>
    </font>
    <font>
      <sz val="10"/>
      <name val="Times New Roman Cyr"/>
      <charset val="204"/>
    </font>
    <font>
      <sz val="11"/>
      <name val="Calibri"/>
      <family val="2"/>
      <charset val="204"/>
      <scheme val="minor"/>
    </font>
    <font>
      <sz val="11"/>
      <color theme="0" tint="-0.34998626667073579"/>
      <name val="Times New Roman Cyr"/>
      <charset val="204"/>
    </font>
    <font>
      <b/>
      <sz val="11"/>
      <color indexed="8"/>
      <name val="Calibri Light"/>
      <family val="1"/>
      <charset val="204"/>
      <scheme val="major"/>
    </font>
    <font>
      <i/>
      <sz val="11"/>
      <color indexed="8"/>
      <name val="Calibri Light"/>
      <family val="1"/>
      <charset val="204"/>
      <scheme val="major"/>
    </font>
    <font>
      <b/>
      <sz val="22"/>
      <color indexed="8"/>
      <name val="Times New Roman Cyr"/>
      <charset val="204"/>
    </font>
    <font>
      <b/>
      <sz val="18"/>
      <color indexed="8"/>
      <name val="Calibri Light"/>
      <family val="1"/>
      <charset val="204"/>
      <scheme val="major"/>
    </font>
    <font>
      <sz val="16"/>
      <color indexed="8"/>
      <name val="Calibri Light"/>
      <family val="1"/>
      <charset val="204"/>
      <scheme val="major"/>
    </font>
    <font>
      <sz val="16"/>
      <color indexed="8"/>
      <name val="Times New Roman Cyr"/>
      <charset val="204"/>
    </font>
    <font>
      <sz val="10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2" borderId="0"/>
    <xf numFmtId="0" fontId="3" fillId="0" borderId="0"/>
    <xf numFmtId="164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38" fillId="0" borderId="0"/>
    <xf numFmtId="164" fontId="1" fillId="0" borderId="0" applyFont="0" applyFill="0" applyBorder="0" applyAlignment="0" applyProtection="0"/>
  </cellStyleXfs>
  <cellXfs count="30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5" fillId="4" borderId="0" xfId="0" applyFont="1" applyFill="1" applyAlignment="1">
      <alignment horizontal="right"/>
    </xf>
    <xf numFmtId="0" fontId="4" fillId="4" borderId="0" xfId="0" applyFont="1" applyFill="1"/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9" fillId="6" borderId="3" xfId="0" applyFont="1" applyFill="1" applyBorder="1" applyAlignment="1">
      <alignment horizontal="right" vertical="top" wrapText="1"/>
    </xf>
    <xf numFmtId="0" fontId="10" fillId="6" borderId="4" xfId="0" applyFont="1" applyFill="1" applyBorder="1" applyAlignment="1">
      <alignment horizontal="left" vertical="top" wrapText="1"/>
    </xf>
    <xf numFmtId="0" fontId="9" fillId="6" borderId="4" xfId="0" applyFont="1" applyFill="1" applyBorder="1" applyAlignment="1">
      <alignment horizontal="center" vertical="top" wrapText="1"/>
    </xf>
    <xf numFmtId="0" fontId="9" fillId="6" borderId="0" xfId="0" applyFont="1" applyFill="1" applyBorder="1" applyAlignment="1">
      <alignment horizontal="center" vertical="top" wrapText="1"/>
    </xf>
    <xf numFmtId="0" fontId="9" fillId="7" borderId="5" xfId="0" applyFont="1" applyFill="1" applyBorder="1" applyAlignment="1">
      <alignment horizontal="right" vertical="top" wrapText="1"/>
    </xf>
    <xf numFmtId="0" fontId="9" fillId="7" borderId="6" xfId="0" applyFont="1" applyFill="1" applyBorder="1" applyAlignment="1">
      <alignment vertical="top" wrapText="1"/>
    </xf>
    <xf numFmtId="0" fontId="9" fillId="7" borderId="6" xfId="0" applyFont="1" applyFill="1" applyBorder="1" applyAlignment="1">
      <alignment horizontal="right" vertical="top" wrapText="1"/>
    </xf>
    <xf numFmtId="4" fontId="10" fillId="7" borderId="0" xfId="0" applyNumberFormat="1" applyFont="1" applyFill="1" applyBorder="1" applyAlignment="1">
      <alignment horizontal="center" vertical="top" wrapText="1"/>
    </xf>
    <xf numFmtId="10" fontId="10" fillId="7" borderId="0" xfId="0" applyNumberFormat="1" applyFont="1" applyFill="1" applyBorder="1" applyAlignment="1">
      <alignment horizontal="center" vertical="top" wrapText="1"/>
    </xf>
    <xf numFmtId="0" fontId="9" fillId="7" borderId="0" xfId="0" applyFont="1" applyFill="1" applyBorder="1" applyAlignment="1">
      <alignment horizontal="right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vertical="top" wrapText="1"/>
    </xf>
    <xf numFmtId="3" fontId="9" fillId="0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vertical="top" wrapText="1"/>
    </xf>
    <xf numFmtId="9" fontId="9" fillId="0" borderId="0" xfId="0" applyNumberFormat="1" applyFont="1" applyFill="1" applyBorder="1" applyAlignment="1">
      <alignment horizontal="center" vertical="top" wrapText="1"/>
    </xf>
    <xf numFmtId="166" fontId="4" fillId="0" borderId="0" xfId="0" applyNumberFormat="1" applyFont="1"/>
    <xf numFmtId="3" fontId="4" fillId="0" borderId="0" xfId="0" applyNumberFormat="1" applyFont="1"/>
    <xf numFmtId="4" fontId="4" fillId="0" borderId="0" xfId="0" applyNumberFormat="1" applyFont="1"/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3" fontId="9" fillId="0" borderId="6" xfId="0" applyNumberFormat="1" applyFont="1" applyBorder="1" applyAlignment="1">
      <alignment horizontal="center" vertical="top" wrapText="1"/>
    </xf>
    <xf numFmtId="3" fontId="9" fillId="0" borderId="0" xfId="0" applyNumberFormat="1" applyFont="1" applyBorder="1" applyAlignment="1">
      <alignment horizontal="center" vertical="top" wrapText="1"/>
    </xf>
    <xf numFmtId="3" fontId="9" fillId="7" borderId="6" xfId="0" applyNumberFormat="1" applyFont="1" applyFill="1" applyBorder="1" applyAlignment="1">
      <alignment horizontal="right" vertical="top" wrapText="1"/>
    </xf>
    <xf numFmtId="3" fontId="9" fillId="7" borderId="0" xfId="0" applyNumberFormat="1" applyFont="1" applyFill="1" applyBorder="1" applyAlignment="1">
      <alignment horizontal="right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vertical="top" wrapText="1"/>
    </xf>
    <xf numFmtId="0" fontId="9" fillId="7" borderId="5" xfId="0" applyFont="1" applyFill="1" applyBorder="1" applyAlignment="1">
      <alignment horizontal="center" vertical="top" wrapText="1"/>
    </xf>
    <xf numFmtId="3" fontId="9" fillId="7" borderId="6" xfId="0" applyNumberFormat="1" applyFont="1" applyFill="1" applyBorder="1" applyAlignment="1">
      <alignment horizontal="center" vertical="top" wrapText="1"/>
    </xf>
    <xf numFmtId="3" fontId="9" fillId="7" borderId="0" xfId="0" applyNumberFormat="1" applyFont="1" applyFill="1" applyBorder="1" applyAlignment="1">
      <alignment horizontal="center" vertical="top" wrapText="1"/>
    </xf>
    <xf numFmtId="0" fontId="4" fillId="0" borderId="0" xfId="0" applyFont="1" applyFill="1"/>
    <xf numFmtId="3" fontId="9" fillId="0" borderId="8" xfId="0" applyNumberFormat="1" applyFont="1" applyFill="1" applyBorder="1" applyAlignment="1">
      <alignment horizontal="center" vertical="top" wrapText="1"/>
    </xf>
    <xf numFmtId="49" fontId="9" fillId="0" borderId="6" xfId="0" applyNumberFormat="1" applyFont="1" applyFill="1" applyBorder="1" applyAlignment="1">
      <alignment vertical="top" wrapText="1"/>
    </xf>
    <xf numFmtId="3" fontId="10" fillId="7" borderId="0" xfId="0" applyNumberFormat="1" applyFont="1" applyFill="1" applyBorder="1" applyAlignment="1">
      <alignment horizontal="center" vertical="top" wrapText="1"/>
    </xf>
    <xf numFmtId="0" fontId="11" fillId="0" borderId="9" xfId="0" applyFont="1" applyFill="1" applyBorder="1"/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3" fontId="9" fillId="0" borderId="11" xfId="0" applyNumberFormat="1" applyFont="1" applyFill="1" applyBorder="1" applyAlignment="1">
      <alignment horizontal="center" vertical="top" wrapText="1"/>
    </xf>
    <xf numFmtId="3" fontId="14" fillId="0" borderId="0" xfId="0" applyNumberFormat="1" applyFont="1" applyFill="1" applyBorder="1" applyAlignment="1">
      <alignment horizontal="center" vertical="top" wrapText="1"/>
    </xf>
    <xf numFmtId="0" fontId="14" fillId="6" borderId="0" xfId="0" applyFont="1" applyFill="1" applyBorder="1" applyAlignment="1">
      <alignment horizontal="center" vertical="top" wrapText="1"/>
    </xf>
    <xf numFmtId="3" fontId="14" fillId="7" borderId="0" xfId="0" applyNumberFormat="1" applyFont="1" applyFill="1" applyBorder="1" applyAlignment="1">
      <alignment horizontal="center" vertical="top" wrapText="1"/>
    </xf>
    <xf numFmtId="3" fontId="15" fillId="0" borderId="0" xfId="0" applyNumberFormat="1" applyFont="1" applyFill="1" applyBorder="1" applyAlignment="1">
      <alignment horizontal="center" vertical="top" wrapText="1"/>
    </xf>
    <xf numFmtId="4" fontId="16" fillId="7" borderId="0" xfId="0" applyNumberFormat="1" applyFont="1" applyFill="1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horizontal="center" vertical="top" wrapText="1"/>
    </xf>
    <xf numFmtId="3" fontId="11" fillId="5" borderId="0" xfId="0" applyNumberFormat="1" applyFont="1" applyFill="1" applyBorder="1" applyAlignment="1">
      <alignment horizontal="center" vertical="top" wrapText="1"/>
    </xf>
    <xf numFmtId="3" fontId="9" fillId="5" borderId="0" xfId="0" applyNumberFormat="1" applyFont="1" applyFill="1" applyBorder="1" applyAlignment="1">
      <alignment horizontal="center" vertical="top" wrapText="1"/>
    </xf>
    <xf numFmtId="4" fontId="17" fillId="7" borderId="0" xfId="0" applyNumberFormat="1" applyFont="1" applyFill="1" applyBorder="1" applyAlignment="1">
      <alignment horizontal="center" vertical="top" wrapText="1"/>
    </xf>
    <xf numFmtId="3" fontId="11" fillId="4" borderId="0" xfId="0" applyNumberFormat="1" applyFont="1" applyFill="1" applyBorder="1" applyAlignment="1">
      <alignment horizontal="center" vertical="top" wrapText="1"/>
    </xf>
    <xf numFmtId="3" fontId="17" fillId="7" borderId="0" xfId="0" applyNumberFormat="1" applyFont="1" applyFill="1" applyBorder="1" applyAlignment="1">
      <alignment horizontal="center" vertical="top" wrapText="1"/>
    </xf>
    <xf numFmtId="167" fontId="9" fillId="0" borderId="0" xfId="0" applyNumberFormat="1" applyFont="1" applyFill="1" applyBorder="1" applyAlignment="1">
      <alignment horizontal="center" vertical="top" wrapText="1"/>
    </xf>
    <xf numFmtId="167" fontId="9" fillId="0" borderId="0" xfId="0" applyNumberFormat="1" applyFont="1" applyBorder="1" applyAlignment="1">
      <alignment horizontal="center" vertical="top" wrapText="1"/>
    </xf>
    <xf numFmtId="167" fontId="10" fillId="7" borderId="0" xfId="0" applyNumberFormat="1" applyFont="1" applyFill="1" applyBorder="1" applyAlignment="1">
      <alignment horizontal="center" vertical="top" wrapText="1"/>
    </xf>
    <xf numFmtId="167" fontId="9" fillId="6" borderId="0" xfId="0" applyNumberFormat="1" applyFont="1" applyFill="1" applyBorder="1" applyAlignment="1">
      <alignment horizontal="center" vertical="top" wrapText="1"/>
    </xf>
    <xf numFmtId="167" fontId="9" fillId="7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3" fontId="9" fillId="4" borderId="0" xfId="0" applyNumberFormat="1" applyFont="1" applyFill="1" applyBorder="1" applyAlignment="1">
      <alignment horizontal="center" vertical="top" wrapText="1"/>
    </xf>
    <xf numFmtId="0" fontId="18" fillId="5" borderId="0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0" fillId="8" borderId="12" xfId="0" applyFill="1" applyBorder="1" applyAlignment="1">
      <alignment horizontal="center"/>
    </xf>
    <xf numFmtId="0" fontId="19" fillId="8" borderId="12" xfId="0" applyFont="1" applyFill="1" applyBorder="1" applyAlignment="1">
      <alignment horizontal="center"/>
    </xf>
    <xf numFmtId="3" fontId="9" fillId="3" borderId="0" xfId="0" applyNumberFormat="1" applyFont="1" applyFill="1" applyBorder="1" applyAlignment="1">
      <alignment horizontal="center" vertical="top" wrapText="1"/>
    </xf>
    <xf numFmtId="168" fontId="4" fillId="0" borderId="0" xfId="5" applyNumberFormat="1" applyFont="1"/>
    <xf numFmtId="168" fontId="21" fillId="0" borderId="0" xfId="0" applyNumberFormat="1" applyFont="1"/>
    <xf numFmtId="0" fontId="0" fillId="0" borderId="12" xfId="0" applyBorder="1" applyAlignment="1">
      <alignment wrapText="1"/>
    </xf>
    <xf numFmtId="0" fontId="22" fillId="0" borderId="0" xfId="6" applyFont="1"/>
    <xf numFmtId="0" fontId="23" fillId="0" borderId="0" xfId="6" applyFont="1"/>
    <xf numFmtId="0" fontId="24" fillId="0" borderId="0" xfId="6" applyFont="1"/>
    <xf numFmtId="0" fontId="25" fillId="0" borderId="0" xfId="6" applyFont="1"/>
    <xf numFmtId="0" fontId="22" fillId="0" borderId="0" xfId="6" applyFont="1" applyFill="1"/>
    <xf numFmtId="0" fontId="26" fillId="0" borderId="0" xfId="6" applyFont="1"/>
    <xf numFmtId="0" fontId="27" fillId="0" borderId="0" xfId="6" applyFont="1"/>
    <xf numFmtId="0" fontId="26" fillId="0" borderId="0" xfId="6" applyFont="1" applyFill="1"/>
    <xf numFmtId="0" fontId="28" fillId="0" borderId="0" xfId="6" applyFont="1"/>
    <xf numFmtId="0" fontId="29" fillId="0" borderId="0" xfId="6" applyFont="1"/>
    <xf numFmtId="0" fontId="30" fillId="0" borderId="0" xfId="6" applyFont="1"/>
    <xf numFmtId="168" fontId="22" fillId="0" borderId="0" xfId="6" applyNumberFormat="1" applyFont="1"/>
    <xf numFmtId="4" fontId="22" fillId="0" borderId="13" xfId="6" applyNumberFormat="1" applyFont="1" applyBorder="1"/>
    <xf numFmtId="4" fontId="22" fillId="0" borderId="14" xfId="6" applyNumberFormat="1" applyFont="1" applyBorder="1"/>
    <xf numFmtId="3" fontId="23" fillId="0" borderId="15" xfId="6" applyNumberFormat="1" applyFont="1" applyBorder="1"/>
    <xf numFmtId="3" fontId="24" fillId="0" borderId="15" xfId="6" applyNumberFormat="1" applyFont="1" applyBorder="1"/>
    <xf numFmtId="1" fontId="25" fillId="0" borderId="0" xfId="6" applyNumberFormat="1" applyFont="1"/>
    <xf numFmtId="1" fontId="24" fillId="0" borderId="15" xfId="6" applyNumberFormat="1" applyFont="1" applyBorder="1"/>
    <xf numFmtId="1" fontId="22" fillId="0" borderId="0" xfId="6" applyNumberFormat="1" applyFont="1"/>
    <xf numFmtId="169" fontId="31" fillId="0" borderId="13" xfId="6" applyNumberFormat="1" applyFont="1" applyBorder="1"/>
    <xf numFmtId="169" fontId="31" fillId="0" borderId="14" xfId="6" applyNumberFormat="1" applyFont="1" applyBorder="1"/>
    <xf numFmtId="168" fontId="31" fillId="0" borderId="16" xfId="6" applyNumberFormat="1" applyFont="1" applyBorder="1"/>
    <xf numFmtId="169" fontId="31" fillId="0" borderId="16" xfId="6" applyNumberFormat="1" applyFont="1" applyBorder="1"/>
    <xf numFmtId="0" fontId="31" fillId="0" borderId="0" xfId="6" applyFont="1"/>
    <xf numFmtId="4" fontId="31" fillId="0" borderId="13" xfId="6" applyNumberFormat="1" applyFont="1" applyBorder="1"/>
    <xf numFmtId="4" fontId="31" fillId="0" borderId="14" xfId="6" applyNumberFormat="1" applyFont="1" applyBorder="1"/>
    <xf numFmtId="3" fontId="32" fillId="0" borderId="15" xfId="6" applyNumberFormat="1" applyFont="1" applyBorder="1"/>
    <xf numFmtId="3" fontId="33" fillId="0" borderId="15" xfId="6" applyNumberFormat="1" applyFont="1" applyBorder="1"/>
    <xf numFmtId="3" fontId="34" fillId="0" borderId="17" xfId="6" applyNumberFormat="1" applyFont="1" applyBorder="1"/>
    <xf numFmtId="169" fontId="34" fillId="0" borderId="12" xfId="6" applyNumberFormat="1" applyFont="1" applyBorder="1"/>
    <xf numFmtId="3" fontId="34" fillId="0" borderId="18" xfId="6" applyNumberFormat="1" applyFont="1" applyBorder="1"/>
    <xf numFmtId="3" fontId="34" fillId="0" borderId="19" xfId="6" applyNumberFormat="1" applyFont="1" applyBorder="1"/>
    <xf numFmtId="3" fontId="34" fillId="0" borderId="12" xfId="6" applyNumberFormat="1" applyFont="1" applyBorder="1"/>
    <xf numFmtId="3" fontId="34" fillId="0" borderId="14" xfId="6" applyNumberFormat="1" applyFont="1" applyBorder="1"/>
    <xf numFmtId="0" fontId="31" fillId="0" borderId="20" xfId="6" applyFont="1" applyBorder="1"/>
    <xf numFmtId="0" fontId="31" fillId="0" borderId="12" xfId="6" applyFont="1" applyBorder="1"/>
    <xf numFmtId="0" fontId="31" fillId="0" borderId="21" xfId="6" applyFont="1" applyBorder="1"/>
    <xf numFmtId="0" fontId="31" fillId="0" borderId="22" xfId="6" applyFont="1" applyBorder="1"/>
    <xf numFmtId="0" fontId="35" fillId="9" borderId="22" xfId="6" applyFont="1" applyFill="1" applyBorder="1"/>
    <xf numFmtId="169" fontId="31" fillId="10" borderId="23" xfId="6" applyNumberFormat="1" applyFont="1" applyFill="1" applyBorder="1"/>
    <xf numFmtId="169" fontId="31" fillId="10" borderId="16" xfId="6" applyNumberFormat="1" applyFont="1" applyFill="1" applyBorder="1"/>
    <xf numFmtId="169" fontId="31" fillId="10" borderId="24" xfId="6" applyNumberFormat="1" applyFont="1" applyFill="1" applyBorder="1"/>
    <xf numFmtId="4" fontId="31" fillId="10" borderId="23" xfId="6" applyNumberFormat="1" applyFont="1" applyFill="1" applyBorder="1"/>
    <xf numFmtId="4" fontId="31" fillId="10" borderId="16" xfId="6" applyNumberFormat="1" applyFont="1" applyFill="1" applyBorder="1"/>
    <xf numFmtId="3" fontId="32" fillId="10" borderId="25" xfId="6" applyNumberFormat="1" applyFont="1" applyFill="1" applyBorder="1"/>
    <xf numFmtId="3" fontId="33" fillId="10" borderId="25" xfId="6" applyNumberFormat="1" applyFont="1" applyFill="1" applyBorder="1"/>
    <xf numFmtId="3" fontId="34" fillId="10" borderId="26" xfId="6" applyNumberFormat="1" applyFont="1" applyFill="1" applyBorder="1"/>
    <xf numFmtId="3" fontId="34" fillId="10" borderId="12" xfId="6" applyNumberFormat="1" applyFont="1" applyFill="1" applyBorder="1"/>
    <xf numFmtId="3" fontId="34" fillId="10" borderId="20" xfId="6" applyNumberFormat="1" applyFont="1" applyFill="1" applyBorder="1"/>
    <xf numFmtId="3" fontId="34" fillId="10" borderId="16" xfId="6" applyNumberFormat="1" applyFont="1" applyFill="1" applyBorder="1"/>
    <xf numFmtId="0" fontId="31" fillId="10" borderId="21" xfId="6" applyFont="1" applyFill="1" applyBorder="1"/>
    <xf numFmtId="0" fontId="36" fillId="9" borderId="21" xfId="6" applyFont="1" applyFill="1" applyBorder="1"/>
    <xf numFmtId="169" fontId="31" fillId="4" borderId="23" xfId="6" applyNumberFormat="1" applyFont="1" applyFill="1" applyBorder="1"/>
    <xf numFmtId="169" fontId="31" fillId="4" borderId="16" xfId="6" applyNumberFormat="1" applyFont="1" applyFill="1" applyBorder="1"/>
    <xf numFmtId="169" fontId="31" fillId="0" borderId="24" xfId="6" applyNumberFormat="1" applyFont="1" applyBorder="1"/>
    <xf numFmtId="169" fontId="31" fillId="0" borderId="23" xfId="6" applyNumberFormat="1" applyFont="1" applyBorder="1"/>
    <xf numFmtId="4" fontId="31" fillId="0" borderId="23" xfId="6" applyNumberFormat="1" applyFont="1" applyBorder="1"/>
    <xf numFmtId="4" fontId="31" fillId="0" borderId="16" xfId="6" applyNumberFormat="1" applyFont="1" applyBorder="1"/>
    <xf numFmtId="3" fontId="32" fillId="0" borderId="25" xfId="6" applyNumberFormat="1" applyFont="1" applyBorder="1"/>
    <xf numFmtId="3" fontId="33" fillId="0" borderId="25" xfId="6" applyNumberFormat="1" applyFont="1" applyBorder="1"/>
    <xf numFmtId="3" fontId="34" fillId="0" borderId="26" xfId="6" applyNumberFormat="1" applyFont="1" applyBorder="1"/>
    <xf numFmtId="3" fontId="34" fillId="0" borderId="20" xfId="6" applyNumberFormat="1" applyFont="1" applyBorder="1"/>
    <xf numFmtId="3" fontId="34" fillId="0" borderId="16" xfId="6" applyNumberFormat="1" applyFont="1" applyBorder="1"/>
    <xf numFmtId="0" fontId="35" fillId="9" borderId="21" xfId="6" applyFont="1" applyFill="1" applyBorder="1"/>
    <xf numFmtId="169" fontId="31" fillId="11" borderId="23" xfId="6" applyNumberFormat="1" applyFont="1" applyFill="1" applyBorder="1"/>
    <xf numFmtId="169" fontId="31" fillId="11" borderId="16" xfId="6" applyNumberFormat="1" applyFont="1" applyFill="1" applyBorder="1"/>
    <xf numFmtId="169" fontId="31" fillId="11" borderId="24" xfId="6" applyNumberFormat="1" applyFont="1" applyFill="1" applyBorder="1"/>
    <xf numFmtId="4" fontId="31" fillId="11" borderId="23" xfId="6" applyNumberFormat="1" applyFont="1" applyFill="1" applyBorder="1"/>
    <xf numFmtId="4" fontId="31" fillId="11" borderId="16" xfId="6" applyNumberFormat="1" applyFont="1" applyFill="1" applyBorder="1"/>
    <xf numFmtId="3" fontId="32" fillId="11" borderId="25" xfId="6" applyNumberFormat="1" applyFont="1" applyFill="1" applyBorder="1"/>
    <xf numFmtId="3" fontId="33" fillId="11" borderId="25" xfId="6" applyNumberFormat="1" applyFont="1" applyFill="1" applyBorder="1"/>
    <xf numFmtId="3" fontId="34" fillId="11" borderId="26" xfId="6" applyNumberFormat="1" applyFont="1" applyFill="1" applyBorder="1"/>
    <xf numFmtId="3" fontId="34" fillId="11" borderId="12" xfId="6" applyNumberFormat="1" applyFont="1" applyFill="1" applyBorder="1"/>
    <xf numFmtId="3" fontId="34" fillId="11" borderId="20" xfId="6" applyNumberFormat="1" applyFont="1" applyFill="1" applyBorder="1"/>
    <xf numFmtId="3" fontId="34" fillId="11" borderId="16" xfId="6" applyNumberFormat="1" applyFont="1" applyFill="1" applyBorder="1"/>
    <xf numFmtId="0" fontId="31" fillId="11" borderId="21" xfId="6" applyFont="1" applyFill="1" applyBorder="1"/>
    <xf numFmtId="0" fontId="37" fillId="9" borderId="21" xfId="6" applyFont="1" applyFill="1" applyBorder="1"/>
    <xf numFmtId="0" fontId="38" fillId="0" borderId="0" xfId="7" applyFont="1" applyBorder="1" applyAlignment="1">
      <alignment horizontal="center" vertical="center"/>
    </xf>
    <xf numFmtId="169" fontId="22" fillId="10" borderId="23" xfId="6" applyNumberFormat="1" applyFont="1" applyFill="1" applyBorder="1"/>
    <xf numFmtId="169" fontId="22" fillId="10" borderId="16" xfId="6" applyNumberFormat="1" applyFont="1" applyFill="1" applyBorder="1"/>
    <xf numFmtId="169" fontId="22" fillId="10" borderId="24" xfId="6" applyNumberFormat="1" applyFont="1" applyFill="1" applyBorder="1"/>
    <xf numFmtId="4" fontId="22" fillId="10" borderId="23" xfId="6" applyNumberFormat="1" applyFont="1" applyFill="1" applyBorder="1"/>
    <xf numFmtId="4" fontId="22" fillId="10" borderId="16" xfId="6" applyNumberFormat="1" applyFont="1" applyFill="1" applyBorder="1"/>
    <xf numFmtId="3" fontId="23" fillId="10" borderId="25" xfId="6" applyNumberFormat="1" applyFont="1" applyFill="1" applyBorder="1"/>
    <xf numFmtId="3" fontId="24" fillId="10" borderId="25" xfId="6" applyNumberFormat="1" applyFont="1" applyFill="1" applyBorder="1"/>
    <xf numFmtId="3" fontId="25" fillId="10" borderId="26" xfId="6" applyNumberFormat="1" applyFont="1" applyFill="1" applyBorder="1"/>
    <xf numFmtId="3" fontId="25" fillId="10" borderId="12" xfId="6" applyNumberFormat="1" applyFont="1" applyFill="1" applyBorder="1"/>
    <xf numFmtId="3" fontId="25" fillId="10" borderId="20" xfId="6" applyNumberFormat="1" applyFont="1" applyFill="1" applyBorder="1"/>
    <xf numFmtId="3" fontId="25" fillId="10" borderId="16" xfId="6" applyNumberFormat="1" applyFont="1" applyFill="1" applyBorder="1"/>
    <xf numFmtId="0" fontId="22" fillId="10" borderId="21" xfId="6" applyFont="1" applyFill="1" applyBorder="1"/>
    <xf numFmtId="169" fontId="22" fillId="12" borderId="23" xfId="6" applyNumberFormat="1" applyFont="1" applyFill="1" applyBorder="1"/>
    <xf numFmtId="169" fontId="22" fillId="12" borderId="16" xfId="6" applyNumberFormat="1" applyFont="1" applyFill="1" applyBorder="1"/>
    <xf numFmtId="169" fontId="22" fillId="12" borderId="24" xfId="6" applyNumberFormat="1" applyFont="1" applyFill="1" applyBorder="1"/>
    <xf numFmtId="4" fontId="22" fillId="12" borderId="23" xfId="6" applyNumberFormat="1" applyFont="1" applyFill="1" applyBorder="1"/>
    <xf numFmtId="4" fontId="22" fillId="12" borderId="16" xfId="6" applyNumberFormat="1" applyFont="1" applyFill="1" applyBorder="1"/>
    <xf numFmtId="3" fontId="23" fillId="12" borderId="25" xfId="6" applyNumberFormat="1" applyFont="1" applyFill="1" applyBorder="1"/>
    <xf numFmtId="3" fontId="24" fillId="12" borderId="25" xfId="6" applyNumberFormat="1" applyFont="1" applyFill="1" applyBorder="1"/>
    <xf numFmtId="3" fontId="25" fillId="12" borderId="26" xfId="6" applyNumberFormat="1" applyFont="1" applyFill="1" applyBorder="1"/>
    <xf numFmtId="3" fontId="25" fillId="12" borderId="12" xfId="6" applyNumberFormat="1" applyFont="1" applyFill="1" applyBorder="1"/>
    <xf numFmtId="3" fontId="25" fillId="12" borderId="20" xfId="6" applyNumberFormat="1" applyFont="1" applyFill="1" applyBorder="1"/>
    <xf numFmtId="3" fontId="25" fillId="12" borderId="16" xfId="6" applyNumberFormat="1" applyFont="1" applyFill="1" applyBorder="1"/>
    <xf numFmtId="0" fontId="22" fillId="12" borderId="21" xfId="6" applyFont="1" applyFill="1" applyBorder="1"/>
    <xf numFmtId="0" fontId="29" fillId="12" borderId="21" xfId="6" applyFont="1" applyFill="1" applyBorder="1"/>
    <xf numFmtId="0" fontId="31" fillId="0" borderId="24" xfId="6" applyFont="1" applyBorder="1"/>
    <xf numFmtId="0" fontId="31" fillId="13" borderId="21" xfId="6" applyFont="1" applyFill="1" applyBorder="1"/>
    <xf numFmtId="169" fontId="22" fillId="14" borderId="23" xfId="6" applyNumberFormat="1" applyFont="1" applyFill="1" applyBorder="1"/>
    <xf numFmtId="169" fontId="22" fillId="14" borderId="16" xfId="6" applyNumberFormat="1" applyFont="1" applyFill="1" applyBorder="1"/>
    <xf numFmtId="169" fontId="22" fillId="14" borderId="24" xfId="6" applyNumberFormat="1" applyFont="1" applyFill="1" applyBorder="1"/>
    <xf numFmtId="4" fontId="22" fillId="14" borderId="23" xfId="6" applyNumberFormat="1" applyFont="1" applyFill="1" applyBorder="1"/>
    <xf numFmtId="4" fontId="22" fillId="14" borderId="16" xfId="6" applyNumberFormat="1" applyFont="1" applyFill="1" applyBorder="1"/>
    <xf numFmtId="3" fontId="23" fillId="14" borderId="25" xfId="6" applyNumberFormat="1" applyFont="1" applyFill="1" applyBorder="1"/>
    <xf numFmtId="3" fontId="24" fillId="14" borderId="25" xfId="6" applyNumberFormat="1" applyFont="1" applyFill="1" applyBorder="1"/>
    <xf numFmtId="3" fontId="25" fillId="14" borderId="26" xfId="6" applyNumberFormat="1" applyFont="1" applyFill="1" applyBorder="1"/>
    <xf numFmtId="3" fontId="25" fillId="14" borderId="12" xfId="6" applyNumberFormat="1" applyFont="1" applyFill="1" applyBorder="1"/>
    <xf numFmtId="3" fontId="25" fillId="14" borderId="20" xfId="6" applyNumberFormat="1" applyFont="1" applyFill="1" applyBorder="1"/>
    <xf numFmtId="3" fontId="25" fillId="14" borderId="16" xfId="6" applyNumberFormat="1" applyFont="1" applyFill="1" applyBorder="1"/>
    <xf numFmtId="0" fontId="22" fillId="14" borderId="21" xfId="6" applyFont="1" applyFill="1" applyBorder="1"/>
    <xf numFmtId="0" fontId="22" fillId="0" borderId="0" xfId="6" applyFont="1" applyBorder="1"/>
    <xf numFmtId="0" fontId="39" fillId="0" borderId="21" xfId="6" applyFont="1" applyBorder="1"/>
    <xf numFmtId="0" fontId="31" fillId="0" borderId="21" xfId="6" applyFont="1" applyFill="1" applyBorder="1"/>
    <xf numFmtId="0" fontId="31" fillId="15" borderId="20" xfId="6" applyFont="1" applyFill="1" applyBorder="1"/>
    <xf numFmtId="0" fontId="31" fillId="15" borderId="12" xfId="6" applyFont="1" applyFill="1" applyBorder="1"/>
    <xf numFmtId="0" fontId="31" fillId="15" borderId="21" xfId="6" applyFont="1" applyFill="1" applyBorder="1"/>
    <xf numFmtId="0" fontId="22" fillId="9" borderId="21" xfId="6" applyFont="1" applyFill="1" applyBorder="1"/>
    <xf numFmtId="1" fontId="34" fillId="0" borderId="0" xfId="6" applyNumberFormat="1" applyFont="1"/>
    <xf numFmtId="0" fontId="40" fillId="9" borderId="21" xfId="6" applyFont="1" applyFill="1" applyBorder="1"/>
    <xf numFmtId="170" fontId="38" fillId="0" borderId="0" xfId="7" applyNumberFormat="1" applyFont="1" applyBorder="1" applyAlignment="1">
      <alignment horizontal="center" vertical="center"/>
    </xf>
    <xf numFmtId="0" fontId="38" fillId="0" borderId="0" xfId="7" applyFont="1" applyFill="1" applyBorder="1" applyAlignment="1">
      <alignment horizontal="center" vertical="center"/>
    </xf>
    <xf numFmtId="169" fontId="36" fillId="12" borderId="27" xfId="6" applyNumberFormat="1" applyFont="1" applyFill="1" applyBorder="1"/>
    <xf numFmtId="169" fontId="36" fillId="12" borderId="28" xfId="6" applyNumberFormat="1" applyFont="1" applyFill="1" applyBorder="1"/>
    <xf numFmtId="169" fontId="36" fillId="12" borderId="29" xfId="6" applyNumberFormat="1" applyFont="1" applyFill="1" applyBorder="1"/>
    <xf numFmtId="0" fontId="36" fillId="0" borderId="0" xfId="6" applyFont="1"/>
    <xf numFmtId="4" fontId="36" fillId="12" borderId="27" xfId="6" applyNumberFormat="1" applyFont="1" applyFill="1" applyBorder="1"/>
    <xf numFmtId="4" fontId="36" fillId="12" borderId="28" xfId="6" applyNumberFormat="1" applyFont="1" applyFill="1" applyBorder="1"/>
    <xf numFmtId="4" fontId="29" fillId="12" borderId="30" xfId="6" applyNumberFormat="1" applyFont="1" applyFill="1" applyBorder="1"/>
    <xf numFmtId="4" fontId="41" fillId="12" borderId="30" xfId="6" applyNumberFormat="1" applyFont="1" applyFill="1" applyBorder="1"/>
    <xf numFmtId="4" fontId="42" fillId="12" borderId="31" xfId="6" applyNumberFormat="1" applyFont="1" applyFill="1" applyBorder="1"/>
    <xf numFmtId="4" fontId="42" fillId="12" borderId="32" xfId="6" applyNumberFormat="1" applyFont="1" applyFill="1" applyBorder="1"/>
    <xf numFmtId="4" fontId="42" fillId="12" borderId="33" xfId="6" applyNumberFormat="1" applyFont="1" applyFill="1" applyBorder="1"/>
    <xf numFmtId="4" fontId="42" fillId="12" borderId="28" xfId="6" applyNumberFormat="1" applyFont="1" applyFill="1" applyBorder="1"/>
    <xf numFmtId="0" fontId="36" fillId="12" borderId="31" xfId="6" applyFont="1" applyFill="1" applyBorder="1"/>
    <xf numFmtId="0" fontId="36" fillId="12" borderId="32" xfId="6" applyFont="1" applyFill="1" applyBorder="1"/>
    <xf numFmtId="0" fontId="36" fillId="12" borderId="28" xfId="6" applyFont="1" applyFill="1" applyBorder="1"/>
    <xf numFmtId="0" fontId="36" fillId="12" borderId="34" xfId="6" applyFont="1" applyFill="1" applyBorder="1"/>
    <xf numFmtId="0" fontId="29" fillId="12" borderId="34" xfId="6" applyFont="1" applyFill="1" applyBorder="1"/>
    <xf numFmtId="0" fontId="22" fillId="0" borderId="0" xfId="6" applyFont="1" applyAlignment="1">
      <alignment wrapText="1"/>
    </xf>
    <xf numFmtId="0" fontId="28" fillId="0" borderId="35" xfId="6" applyFont="1" applyBorder="1" applyAlignment="1">
      <alignment horizontal="center" wrapText="1"/>
    </xf>
    <xf numFmtId="0" fontId="28" fillId="0" borderId="36" xfId="6" applyFont="1" applyBorder="1" applyAlignment="1">
      <alignment horizontal="center" wrapText="1"/>
    </xf>
    <xf numFmtId="0" fontId="28" fillId="0" borderId="35" xfId="6" applyFont="1" applyBorder="1" applyAlignment="1">
      <alignment wrapText="1"/>
    </xf>
    <xf numFmtId="0" fontId="28" fillId="0" borderId="36" xfId="6" applyFont="1" applyBorder="1" applyAlignment="1">
      <alignment wrapText="1"/>
    </xf>
    <xf numFmtId="0" fontId="28" fillId="0" borderId="0" xfId="6" applyFont="1" applyAlignment="1">
      <alignment wrapText="1"/>
    </xf>
    <xf numFmtId="0" fontId="29" fillId="0" borderId="2" xfId="6" applyFont="1" applyBorder="1" applyAlignment="1">
      <alignment wrapText="1"/>
    </xf>
    <xf numFmtId="0" fontId="30" fillId="0" borderId="17" xfId="6" applyFont="1" applyBorder="1" applyAlignment="1">
      <alignment wrapText="1"/>
    </xf>
    <xf numFmtId="0" fontId="30" fillId="0" borderId="18" xfId="6" applyFont="1" applyBorder="1" applyAlignment="1">
      <alignment wrapText="1"/>
    </xf>
    <xf numFmtId="0" fontId="30" fillId="0" borderId="19" xfId="6" applyFont="1" applyBorder="1" applyAlignment="1">
      <alignment wrapText="1"/>
    </xf>
    <xf numFmtId="0" fontId="30" fillId="0" borderId="14" xfId="6" applyFont="1" applyBorder="1" applyAlignment="1">
      <alignment wrapText="1"/>
    </xf>
    <xf numFmtId="0" fontId="28" fillId="0" borderId="17" xfId="6" applyFont="1" applyBorder="1" applyAlignment="1">
      <alignment wrapText="1"/>
    </xf>
    <xf numFmtId="0" fontId="28" fillId="0" borderId="18" xfId="6" applyFont="1" applyBorder="1" applyAlignment="1">
      <alignment wrapText="1"/>
    </xf>
    <xf numFmtId="0" fontId="28" fillId="0" borderId="14" xfId="6" applyFont="1" applyBorder="1" applyAlignment="1">
      <alignment wrapText="1"/>
    </xf>
    <xf numFmtId="0" fontId="22" fillId="0" borderId="0" xfId="6" applyFont="1" applyFill="1" applyAlignment="1">
      <alignment wrapText="1"/>
    </xf>
    <xf numFmtId="9" fontId="22" fillId="0" borderId="0" xfId="6" applyNumberFormat="1" applyFont="1"/>
    <xf numFmtId="3" fontId="22" fillId="0" borderId="0" xfId="6" applyNumberFormat="1" applyFont="1"/>
    <xf numFmtId="9" fontId="22" fillId="0" borderId="0" xfId="6" applyNumberFormat="1" applyFont="1" applyBorder="1" applyAlignment="1">
      <alignment wrapText="1"/>
    </xf>
    <xf numFmtId="4" fontId="22" fillId="0" borderId="0" xfId="6" applyNumberFormat="1" applyFont="1"/>
    <xf numFmtId="0" fontId="7" fillId="0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9" fillId="6" borderId="49" xfId="0" applyFont="1" applyFill="1" applyBorder="1" applyAlignment="1">
      <alignment horizontal="right" vertical="top" wrapText="1"/>
    </xf>
    <xf numFmtId="0" fontId="9" fillId="7" borderId="21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11" fillId="0" borderId="21" xfId="0" applyFont="1" applyFill="1" applyBorder="1"/>
    <xf numFmtId="0" fontId="9" fillId="0" borderId="22" xfId="0" applyFont="1" applyBorder="1" applyAlignment="1">
      <alignment horizontal="center" vertical="top" wrapText="1"/>
    </xf>
    <xf numFmtId="0" fontId="9" fillId="6" borderId="27" xfId="0" applyFont="1" applyFill="1" applyBorder="1" applyAlignment="1">
      <alignment horizontal="center" vertical="top" wrapText="1"/>
    </xf>
    <xf numFmtId="0" fontId="9" fillId="7" borderId="23" xfId="0" applyFont="1" applyFill="1" applyBorder="1" applyAlignment="1">
      <alignment horizontal="right" vertical="top" wrapText="1"/>
    </xf>
    <xf numFmtId="3" fontId="9" fillId="0" borderId="23" xfId="0" applyNumberFormat="1" applyFont="1" applyFill="1" applyBorder="1" applyAlignment="1">
      <alignment horizontal="center" vertical="top" wrapText="1"/>
    </xf>
    <xf numFmtId="3" fontId="9" fillId="0" borderId="23" xfId="0" applyNumberFormat="1" applyFont="1" applyBorder="1" applyAlignment="1">
      <alignment horizontal="center" vertical="top" wrapText="1"/>
    </xf>
    <xf numFmtId="3" fontId="9" fillId="7" borderId="23" xfId="0" applyNumberFormat="1" applyFont="1" applyFill="1" applyBorder="1" applyAlignment="1">
      <alignment horizontal="right" vertical="top" wrapText="1"/>
    </xf>
    <xf numFmtId="3" fontId="9" fillId="7" borderId="23" xfId="0" applyNumberFormat="1" applyFont="1" applyFill="1" applyBorder="1" applyAlignment="1">
      <alignment horizontal="center" vertical="top" wrapText="1"/>
    </xf>
    <xf numFmtId="3" fontId="9" fillId="0" borderId="13" xfId="0" applyNumberFormat="1" applyFont="1" applyFill="1" applyBorder="1" applyAlignment="1">
      <alignment horizontal="center" vertical="top" wrapText="1"/>
    </xf>
    <xf numFmtId="0" fontId="10" fillId="6" borderId="50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vertical="top" wrapText="1"/>
    </xf>
    <xf numFmtId="0" fontId="9" fillId="0" borderId="25" xfId="0" applyFont="1" applyFill="1" applyBorder="1" applyAlignment="1">
      <alignment vertical="top" wrapText="1"/>
    </xf>
    <xf numFmtId="0" fontId="9" fillId="0" borderId="25" xfId="0" applyFont="1" applyBorder="1" applyAlignment="1">
      <alignment vertical="top" wrapText="1"/>
    </xf>
    <xf numFmtId="49" fontId="9" fillId="0" borderId="25" xfId="0" applyNumberFormat="1" applyFont="1" applyFill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10" fillId="6" borderId="30" xfId="0" applyFont="1" applyFill="1" applyBorder="1" applyAlignment="1">
      <alignment horizontal="left" vertical="top" wrapText="1"/>
    </xf>
    <xf numFmtId="3" fontId="9" fillId="0" borderId="13" xfId="0" applyNumberFormat="1" applyFont="1" applyBorder="1" applyAlignment="1">
      <alignment horizontal="center" vertical="top" wrapText="1"/>
    </xf>
    <xf numFmtId="0" fontId="9" fillId="7" borderId="49" xfId="0" applyFont="1" applyFill="1" applyBorder="1" applyAlignment="1">
      <alignment horizontal="center" vertical="top" wrapText="1"/>
    </xf>
    <xf numFmtId="0" fontId="9" fillId="7" borderId="30" xfId="0" applyFont="1" applyFill="1" applyBorder="1" applyAlignment="1">
      <alignment vertical="top" wrapText="1"/>
    </xf>
    <xf numFmtId="3" fontId="9" fillId="7" borderId="27" xfId="0" applyNumberFormat="1" applyFont="1" applyFill="1" applyBorder="1" applyAlignment="1">
      <alignment horizontal="center" vertical="top" wrapText="1"/>
    </xf>
    <xf numFmtId="0" fontId="47" fillId="0" borderId="25" xfId="0" applyFont="1" applyBorder="1" applyAlignment="1">
      <alignment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15" xfId="0" applyFont="1" applyFill="1" applyBorder="1" applyAlignment="1">
      <alignment vertical="top" wrapText="1"/>
    </xf>
    <xf numFmtId="0" fontId="6" fillId="0" borderId="0" xfId="0" applyFont="1" applyAlignment="1">
      <alignment horizontal="center" wrapText="1"/>
    </xf>
    <xf numFmtId="0" fontId="9" fillId="0" borderId="5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/>
    </xf>
    <xf numFmtId="0" fontId="46" fillId="0" borderId="0" xfId="6" applyFont="1" applyAlignment="1">
      <alignment horizontal="center" vertical="center" wrapText="1"/>
    </xf>
    <xf numFmtId="0" fontId="46" fillId="0" borderId="0" xfId="6" applyFont="1" applyAlignment="1">
      <alignment horizontal="center" vertical="center"/>
    </xf>
    <xf numFmtId="0" fontId="29" fillId="0" borderId="1" xfId="6" applyFont="1" applyFill="1" applyBorder="1" applyAlignment="1">
      <alignment horizontal="center" vertical="center" wrapText="1"/>
    </xf>
    <xf numFmtId="0" fontId="29" fillId="0" borderId="38" xfId="6" applyFont="1" applyFill="1" applyBorder="1" applyAlignment="1">
      <alignment horizontal="center" vertical="center" wrapText="1"/>
    </xf>
    <xf numFmtId="0" fontId="29" fillId="4" borderId="1" xfId="6" applyFont="1" applyFill="1" applyBorder="1" applyAlignment="1">
      <alignment horizontal="center" vertical="center" wrapText="1"/>
    </xf>
    <xf numFmtId="0" fontId="29" fillId="4" borderId="38" xfId="6" applyFont="1" applyFill="1" applyBorder="1" applyAlignment="1">
      <alignment horizontal="center" vertical="center" wrapText="1"/>
    </xf>
    <xf numFmtId="0" fontId="29" fillId="0" borderId="1" xfId="6" applyFont="1" applyBorder="1" applyAlignment="1">
      <alignment horizontal="center" vertical="center" wrapText="1"/>
    </xf>
    <xf numFmtId="0" fontId="29" fillId="0" borderId="38" xfId="6" applyFont="1" applyBorder="1" applyAlignment="1">
      <alignment horizontal="center" vertical="center" wrapText="1"/>
    </xf>
    <xf numFmtId="0" fontId="45" fillId="0" borderId="0" xfId="6" applyFont="1" applyAlignment="1">
      <alignment horizontal="center" vertical="center" wrapText="1"/>
    </xf>
    <xf numFmtId="0" fontId="45" fillId="0" borderId="0" xfId="6" applyFont="1" applyAlignment="1">
      <alignment horizontal="center" vertical="center"/>
    </xf>
    <xf numFmtId="0" fontId="44" fillId="0" borderId="0" xfId="6" applyFont="1" applyAlignment="1">
      <alignment horizontal="center" wrapText="1"/>
    </xf>
    <xf numFmtId="0" fontId="44" fillId="0" borderId="0" xfId="6" applyFont="1" applyAlignment="1">
      <alignment horizontal="center"/>
    </xf>
    <xf numFmtId="0" fontId="29" fillId="0" borderId="44" xfId="6" applyFont="1" applyBorder="1" applyAlignment="1">
      <alignment horizontal="center" vertical="center" wrapText="1"/>
    </xf>
    <xf numFmtId="0" fontId="29" fillId="0" borderId="41" xfId="6" applyFont="1" applyBorder="1" applyAlignment="1">
      <alignment horizontal="center" vertical="center" wrapText="1"/>
    </xf>
    <xf numFmtId="0" fontId="29" fillId="0" borderId="43" xfId="6" applyFont="1" applyBorder="1" applyAlignment="1">
      <alignment horizontal="center" vertical="center" wrapText="1"/>
    </xf>
    <xf numFmtId="0" fontId="29" fillId="0" borderId="42" xfId="6" applyFont="1" applyBorder="1" applyAlignment="1">
      <alignment horizontal="center" vertical="center" wrapText="1"/>
    </xf>
    <xf numFmtId="0" fontId="29" fillId="0" borderId="40" xfId="6" applyFont="1" applyBorder="1" applyAlignment="1">
      <alignment horizontal="center" vertical="center" wrapText="1"/>
    </xf>
    <xf numFmtId="0" fontId="29" fillId="0" borderId="39" xfId="6" applyFont="1" applyBorder="1" applyAlignment="1">
      <alignment horizontal="center" vertical="center" wrapText="1"/>
    </xf>
    <xf numFmtId="0" fontId="29" fillId="0" borderId="37" xfId="6" applyFont="1" applyBorder="1" applyAlignment="1">
      <alignment horizontal="center" vertical="center" wrapText="1"/>
    </xf>
    <xf numFmtId="0" fontId="29" fillId="0" borderId="45" xfId="6" applyFont="1" applyBorder="1" applyAlignment="1">
      <alignment horizontal="center" vertical="center" wrapText="1"/>
    </xf>
    <xf numFmtId="0" fontId="43" fillId="0" borderId="0" xfId="6" applyFont="1" applyAlignment="1">
      <alignment horizontal="center" vertical="center"/>
    </xf>
    <xf numFmtId="0" fontId="9" fillId="0" borderId="21" xfId="0" applyFont="1" applyFill="1" applyBorder="1" applyAlignment="1">
      <alignment horizontal="center" vertical="top" wrapText="1"/>
    </xf>
  </cellXfs>
  <cellStyles count="9">
    <cellStyle name="AFE" xfId="3"/>
    <cellStyle name="headerStyle" xfId="2"/>
    <cellStyle name="Обычный" xfId="0" builtinId="0"/>
    <cellStyle name="Обычный 2" xfId="1"/>
    <cellStyle name="Обычный 3" xfId="6"/>
    <cellStyle name="Обычный_Лист1" xfId="7"/>
    <cellStyle name="Процентный" xfId="5" builtinId="5"/>
    <cellStyle name="Финансовый 2" xfId="4"/>
    <cellStyle name="Финансовый 2 2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vn4/Desktop/&#1059;&#1040;&#1058;%20(&#1058;&#1082;&#1072;&#1095;&#1077;&#1074;)/&#1059;&#1040;&#1058;%20&#1086;&#1090;%20&#1055;&#1072;&#1096;&#1080;/&#1050;&#1040;&#1054;%20&#1040;&#1079;&#1086;&#1090;/&#1058;&#1072;&#1088;&#1080;&#1092;&#1099;/&#1056;&#1072;&#1089;&#1095;&#1077;&#1090;%20&#1084;&#1077;&#1078;&#1075;&#1086;&#1088;&#1086;&#1076;%202015%20&#1048;&#1058;&#1054;&#1043;&#1054;&#1042;&#1067;&#1049;/&#1048;&#1085;&#1092;&#1086;&#1088;&#1084;&#1072;&#1094;&#1080;&#1103;%20(&#1086;&#1090;%20&#1052;&#1077;&#1083;&#1100;&#1085;&#1080;&#1082;&#1086;&#1074;&#1072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vn4/Desktop/&#1059;&#1040;&#1058;%20(&#1058;&#1082;&#1072;&#1095;&#1077;&#1074;)/&#1058;&#1040;&#1056;&#1048;&#1060;&#1067;/&#1056;&#1072;&#1089;&#1089;&#1095;&#1077;&#1090;%20&#1090;&#1072;&#1088;&#1080;&#1092;&#1086;&#1074;%202023/_&#1055;&#1088;&#1072;&#1081;&#1089;%20&#1084;&#1077;&#1078;&#1075;&#1086;&#1088;&#1086;&#1076;%202023%20&#1076;&#1083;&#1103;%20&#1062;&#1055;&#104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vn4/Desktop/&#1059;&#1040;&#1058;%20(&#1058;&#1082;&#1072;&#1095;&#1077;&#1074;)/&#1059;&#1040;&#1058;%20&#1086;&#1090;%20&#1055;&#1072;&#1096;&#1080;/&#1050;&#1040;&#1054;%20&#1040;&#1079;&#1086;&#1090;/&#1058;&#1072;&#1088;&#1080;&#1092;&#1099;/2022/_&#1055;&#1088;&#1072;&#1081;&#1089;%20&#1084;&#1077;&#1078;&#1075;&#1086;&#1088;&#1086;&#1076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ы"/>
    </sheetNames>
    <sheetDataSet>
      <sheetData sheetId="0">
        <row r="7">
          <cell r="D7" t="str">
            <v>ЛИАЗ-677</v>
          </cell>
          <cell r="E7">
            <v>6</v>
          </cell>
          <cell r="F7">
            <v>250</v>
          </cell>
          <cell r="G7">
            <v>148.5</v>
          </cell>
          <cell r="H7">
            <v>8</v>
          </cell>
          <cell r="I7">
            <v>450</v>
          </cell>
          <cell r="J7">
            <v>267.3</v>
          </cell>
          <cell r="K7">
            <v>10</v>
          </cell>
          <cell r="L7">
            <v>650</v>
          </cell>
          <cell r="M7">
            <v>386.09999999999997</v>
          </cell>
        </row>
        <row r="8">
          <cell r="D8" t="str">
            <v>Toyota Hiace</v>
          </cell>
          <cell r="E8">
            <v>6</v>
          </cell>
          <cell r="F8">
            <v>250</v>
          </cell>
          <cell r="G8">
            <v>38</v>
          </cell>
          <cell r="H8">
            <v>8</v>
          </cell>
          <cell r="I8">
            <v>450</v>
          </cell>
          <cell r="J8">
            <v>68.399999999999991</v>
          </cell>
          <cell r="K8">
            <v>10</v>
          </cell>
          <cell r="L8">
            <v>650</v>
          </cell>
          <cell r="M8">
            <v>98.8</v>
          </cell>
        </row>
        <row r="9">
          <cell r="D9" t="str">
            <v>НефАЗ 5299</v>
          </cell>
          <cell r="E9">
            <v>6</v>
          </cell>
          <cell r="F9">
            <v>250</v>
          </cell>
          <cell r="G9">
            <v>88</v>
          </cell>
          <cell r="H9">
            <v>8</v>
          </cell>
          <cell r="I9">
            <v>450</v>
          </cell>
          <cell r="J9">
            <v>158.4</v>
          </cell>
          <cell r="K9">
            <v>10</v>
          </cell>
          <cell r="L9">
            <v>650</v>
          </cell>
          <cell r="M9">
            <v>228.8</v>
          </cell>
        </row>
        <row r="10">
          <cell r="D10" t="str">
            <v>Волжанин</v>
          </cell>
          <cell r="E10">
            <v>6</v>
          </cell>
          <cell r="F10">
            <v>250</v>
          </cell>
          <cell r="G10">
            <v>100</v>
          </cell>
          <cell r="H10">
            <v>8</v>
          </cell>
          <cell r="I10">
            <v>450</v>
          </cell>
          <cell r="J10">
            <v>180</v>
          </cell>
          <cell r="K10">
            <v>10</v>
          </cell>
          <cell r="L10">
            <v>650</v>
          </cell>
          <cell r="M10">
            <v>260</v>
          </cell>
        </row>
        <row r="11">
          <cell r="D11" t="str">
            <v>КАВЗ-3976</v>
          </cell>
          <cell r="E11">
            <v>6</v>
          </cell>
          <cell r="F11">
            <v>250</v>
          </cell>
          <cell r="G11">
            <v>82.5</v>
          </cell>
          <cell r="H11">
            <v>8</v>
          </cell>
          <cell r="I11">
            <v>450</v>
          </cell>
          <cell r="J11">
            <v>148.5</v>
          </cell>
          <cell r="K11">
            <v>10</v>
          </cell>
          <cell r="L11">
            <v>650</v>
          </cell>
          <cell r="M11">
            <v>214.5</v>
          </cell>
        </row>
        <row r="12">
          <cell r="D12" t="str">
            <v>ПАЗ-32053, ПАЗ-32054</v>
          </cell>
          <cell r="E12">
            <v>6</v>
          </cell>
          <cell r="F12">
            <v>250</v>
          </cell>
          <cell r="G12">
            <v>88</v>
          </cell>
          <cell r="H12">
            <v>8</v>
          </cell>
          <cell r="I12">
            <v>450</v>
          </cell>
          <cell r="J12">
            <v>158.4</v>
          </cell>
          <cell r="K12">
            <v>5</v>
          </cell>
          <cell r="L12">
            <v>200</v>
          </cell>
          <cell r="M12">
            <v>70.400000000000006</v>
          </cell>
        </row>
        <row r="13">
          <cell r="D13" t="str">
            <v>Газ 27322F (Лаборатория)</v>
          </cell>
          <cell r="E13">
            <v>6</v>
          </cell>
          <cell r="F13">
            <v>250</v>
          </cell>
          <cell r="G13">
            <v>47</v>
          </cell>
          <cell r="H13">
            <v>8</v>
          </cell>
          <cell r="I13">
            <v>450</v>
          </cell>
          <cell r="J13">
            <v>84.600000000000009</v>
          </cell>
          <cell r="K13">
            <v>10</v>
          </cell>
          <cell r="L13">
            <v>650</v>
          </cell>
          <cell r="M13">
            <v>122.2</v>
          </cell>
        </row>
        <row r="14">
          <cell r="D14" t="str">
            <v>ГАЗ-32213, ГАЗ-322132</v>
          </cell>
          <cell r="E14">
            <v>6</v>
          </cell>
          <cell r="F14">
            <v>250</v>
          </cell>
          <cell r="G14">
            <v>48.5</v>
          </cell>
          <cell r="H14">
            <v>8</v>
          </cell>
          <cell r="I14">
            <v>450</v>
          </cell>
          <cell r="J14">
            <v>87.3</v>
          </cell>
          <cell r="K14">
            <v>10</v>
          </cell>
          <cell r="L14">
            <v>650</v>
          </cell>
          <cell r="M14">
            <v>126.1</v>
          </cell>
        </row>
        <row r="15">
          <cell r="D15" t="str">
            <v>НЗАС-4951</v>
          </cell>
          <cell r="E15">
            <v>6</v>
          </cell>
          <cell r="F15">
            <v>250</v>
          </cell>
          <cell r="G15">
            <v>93.5</v>
          </cell>
          <cell r="H15">
            <v>8</v>
          </cell>
          <cell r="I15">
            <v>450</v>
          </cell>
          <cell r="J15">
            <v>168.29999999999998</v>
          </cell>
          <cell r="K15">
            <v>10</v>
          </cell>
          <cell r="L15">
            <v>650</v>
          </cell>
          <cell r="M15">
            <v>243.1</v>
          </cell>
        </row>
        <row r="16">
          <cell r="D16" t="str">
            <v>УАЗ-39629</v>
          </cell>
          <cell r="E16">
            <v>6</v>
          </cell>
          <cell r="F16">
            <v>250</v>
          </cell>
          <cell r="G16">
            <v>54</v>
          </cell>
          <cell r="H16">
            <v>8</v>
          </cell>
          <cell r="I16">
            <v>450</v>
          </cell>
          <cell r="J16">
            <v>97.2</v>
          </cell>
          <cell r="K16">
            <v>10</v>
          </cell>
          <cell r="L16">
            <v>650</v>
          </cell>
          <cell r="M16">
            <v>140.4</v>
          </cell>
        </row>
        <row r="17">
          <cell r="D17" t="str">
            <v>Луидор-2250А7</v>
          </cell>
          <cell r="E17">
            <v>6</v>
          </cell>
          <cell r="F17">
            <v>250</v>
          </cell>
          <cell r="G17">
            <v>46.75</v>
          </cell>
          <cell r="H17">
            <v>8</v>
          </cell>
          <cell r="I17">
            <v>450</v>
          </cell>
          <cell r="J17">
            <v>84.149999999999991</v>
          </cell>
          <cell r="K17">
            <v>10</v>
          </cell>
          <cell r="L17">
            <v>650</v>
          </cell>
          <cell r="M17">
            <v>121.55</v>
          </cell>
        </row>
        <row r="18">
          <cell r="D18" t="str">
            <v>Автомобиль санитарный 27322Н</v>
          </cell>
          <cell r="E18">
            <v>6</v>
          </cell>
          <cell r="F18">
            <v>250</v>
          </cell>
          <cell r="G18">
            <v>46.75</v>
          </cell>
          <cell r="H18">
            <v>8</v>
          </cell>
          <cell r="I18">
            <v>450</v>
          </cell>
          <cell r="J18">
            <v>84.149999999999991</v>
          </cell>
          <cell r="K18">
            <v>10</v>
          </cell>
          <cell r="L18">
            <v>650</v>
          </cell>
          <cell r="M18">
            <v>121.55</v>
          </cell>
        </row>
        <row r="19">
          <cell r="D19" t="str">
            <v>КАВЗ-АВРОРА</v>
          </cell>
          <cell r="E19">
            <v>6</v>
          </cell>
          <cell r="F19">
            <v>250</v>
          </cell>
          <cell r="G19">
            <v>75</v>
          </cell>
          <cell r="H19">
            <v>8</v>
          </cell>
          <cell r="I19">
            <v>450</v>
          </cell>
          <cell r="J19">
            <v>135</v>
          </cell>
          <cell r="K19">
            <v>10</v>
          </cell>
          <cell r="L19">
            <v>650</v>
          </cell>
          <cell r="M19">
            <v>195</v>
          </cell>
        </row>
        <row r="20">
          <cell r="D20" t="str">
            <v>ПАЗ-4234</v>
          </cell>
          <cell r="E20">
            <v>6</v>
          </cell>
          <cell r="F20">
            <v>250</v>
          </cell>
          <cell r="G20">
            <v>69</v>
          </cell>
          <cell r="H20">
            <v>8</v>
          </cell>
          <cell r="I20">
            <v>450</v>
          </cell>
          <cell r="J20">
            <v>124.2</v>
          </cell>
          <cell r="K20">
            <v>4</v>
          </cell>
          <cell r="L20">
            <v>200</v>
          </cell>
          <cell r="M20">
            <v>55.2</v>
          </cell>
        </row>
        <row r="21">
          <cell r="D21" t="str">
            <v>МАЗ 107</v>
          </cell>
          <cell r="E21">
            <v>6</v>
          </cell>
          <cell r="F21">
            <v>250</v>
          </cell>
          <cell r="G21">
            <v>112.5</v>
          </cell>
          <cell r="H21">
            <v>8</v>
          </cell>
          <cell r="I21">
            <v>450</v>
          </cell>
          <cell r="J21">
            <v>202.5</v>
          </cell>
          <cell r="K21">
            <v>10</v>
          </cell>
          <cell r="L21">
            <v>650</v>
          </cell>
          <cell r="M21">
            <v>292.5</v>
          </cell>
        </row>
        <row r="22">
          <cell r="D22" t="str">
            <v>МАЗ 103</v>
          </cell>
          <cell r="E22">
            <v>6</v>
          </cell>
          <cell r="F22">
            <v>250</v>
          </cell>
          <cell r="G22">
            <v>93.5</v>
          </cell>
          <cell r="H22">
            <v>8</v>
          </cell>
          <cell r="I22">
            <v>450</v>
          </cell>
          <cell r="J22">
            <v>168.29999999999998</v>
          </cell>
          <cell r="K22">
            <v>10</v>
          </cell>
          <cell r="L22">
            <v>650</v>
          </cell>
          <cell r="M22">
            <v>243.1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D25" t="str">
            <v>Автовышка h= 22м    Е005СТ, Н016СС</v>
          </cell>
          <cell r="E25">
            <v>8</v>
          </cell>
          <cell r="F25">
            <v>250</v>
          </cell>
          <cell r="G25">
            <v>85.5</v>
          </cell>
          <cell r="H25">
            <v>10</v>
          </cell>
          <cell r="I25">
            <v>450</v>
          </cell>
          <cell r="J25">
            <v>153.9</v>
          </cell>
          <cell r="K25">
            <v>12</v>
          </cell>
          <cell r="L25">
            <v>650</v>
          </cell>
          <cell r="M25">
            <v>222.3</v>
          </cell>
        </row>
        <row r="26">
          <cell r="D26" t="str">
            <v>Автовышка h= 24 м   С200ЕС, Е263ЕХ</v>
          </cell>
          <cell r="E26">
            <v>8</v>
          </cell>
          <cell r="F26">
            <v>250</v>
          </cell>
          <cell r="G26">
            <v>96.25</v>
          </cell>
          <cell r="H26">
            <v>10</v>
          </cell>
          <cell r="I26">
            <v>450</v>
          </cell>
          <cell r="J26">
            <v>173.25</v>
          </cell>
          <cell r="K26">
            <v>12</v>
          </cell>
          <cell r="L26">
            <v>650</v>
          </cell>
          <cell r="M26">
            <v>250.25</v>
          </cell>
        </row>
        <row r="27">
          <cell r="D27" t="str">
            <v>Автовышка h= 28 м   М099ЕЕ</v>
          </cell>
          <cell r="E27">
            <v>8</v>
          </cell>
          <cell r="F27">
            <v>250</v>
          </cell>
          <cell r="G27">
            <v>96.25</v>
          </cell>
          <cell r="H27">
            <v>10</v>
          </cell>
          <cell r="I27">
            <v>450</v>
          </cell>
          <cell r="J27">
            <v>173.25</v>
          </cell>
          <cell r="K27">
            <v>12</v>
          </cell>
          <cell r="L27">
            <v>650</v>
          </cell>
          <cell r="M27">
            <v>250.25</v>
          </cell>
        </row>
        <row r="28">
          <cell r="D28" t="str">
            <v>Автовышка  h= 30 м  М710ЕО</v>
          </cell>
          <cell r="E28">
            <v>8</v>
          </cell>
          <cell r="F28">
            <v>250</v>
          </cell>
          <cell r="G28">
            <v>88</v>
          </cell>
          <cell r="H28">
            <v>10</v>
          </cell>
          <cell r="I28">
            <v>450</v>
          </cell>
          <cell r="J28">
            <v>158.4</v>
          </cell>
          <cell r="K28">
            <v>12</v>
          </cell>
          <cell r="L28">
            <v>650</v>
          </cell>
          <cell r="M28">
            <v>228.8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D30" t="str">
            <v>Автокран  г/п до 14 тн.14м 939. 442</v>
          </cell>
          <cell r="E30">
            <v>8</v>
          </cell>
          <cell r="F30">
            <v>250</v>
          </cell>
          <cell r="G30">
            <v>109.5</v>
          </cell>
          <cell r="H30">
            <v>10</v>
          </cell>
          <cell r="I30">
            <v>450</v>
          </cell>
          <cell r="J30">
            <v>197.1</v>
          </cell>
          <cell r="K30">
            <v>12</v>
          </cell>
          <cell r="L30">
            <v>650</v>
          </cell>
          <cell r="M30">
            <v>284.7</v>
          </cell>
        </row>
        <row r="31">
          <cell r="D31" t="str">
            <v>КС-55713 г/п 25тн, (21 м )</v>
          </cell>
          <cell r="E31">
            <v>8</v>
          </cell>
          <cell r="F31">
            <v>250</v>
          </cell>
          <cell r="G31">
            <v>109.5</v>
          </cell>
          <cell r="H31">
            <v>10</v>
          </cell>
          <cell r="I31">
            <v>450</v>
          </cell>
          <cell r="J31">
            <v>197.1</v>
          </cell>
          <cell r="K31">
            <v>12</v>
          </cell>
          <cell r="L31">
            <v>650</v>
          </cell>
          <cell r="M31">
            <v>284.7</v>
          </cell>
        </row>
        <row r="32">
          <cell r="D32" t="str">
            <v>Автокран  г/п 25тн, (28 м),  Автокран / вышка  г/п 25тн, (28 м)</v>
          </cell>
          <cell r="E32">
            <v>8</v>
          </cell>
          <cell r="F32">
            <v>250</v>
          </cell>
          <cell r="G32">
            <v>150.5</v>
          </cell>
          <cell r="H32">
            <v>10</v>
          </cell>
          <cell r="I32">
            <v>450</v>
          </cell>
          <cell r="J32">
            <v>270.90000000000003</v>
          </cell>
          <cell r="K32">
            <v>12</v>
          </cell>
          <cell r="L32">
            <v>650</v>
          </cell>
          <cell r="M32">
            <v>391.3</v>
          </cell>
        </row>
        <row r="33">
          <cell r="D33" t="str">
            <v>КС4372В (Юргинец) 20т  п/поворотный</v>
          </cell>
          <cell r="E33">
            <v>8</v>
          </cell>
          <cell r="F33">
            <v>250</v>
          </cell>
          <cell r="G33">
            <v>101</v>
          </cell>
          <cell r="H33">
            <v>10</v>
          </cell>
          <cell r="I33">
            <v>450</v>
          </cell>
          <cell r="J33">
            <v>181.79999999999998</v>
          </cell>
          <cell r="K33">
            <v>12</v>
          </cell>
          <cell r="L33">
            <v>650</v>
          </cell>
          <cell r="M33">
            <v>262.59999999999997</v>
          </cell>
        </row>
        <row r="34">
          <cell r="C34">
            <v>3005</v>
          </cell>
          <cell r="D34" t="str">
            <v>КМУ</v>
          </cell>
          <cell r="E34">
            <v>7</v>
          </cell>
          <cell r="F34">
            <v>250</v>
          </cell>
          <cell r="G34">
            <v>91.5</v>
          </cell>
          <cell r="H34">
            <v>10</v>
          </cell>
          <cell r="I34">
            <v>450</v>
          </cell>
          <cell r="J34">
            <v>164.70000000000002</v>
          </cell>
          <cell r="K34">
            <v>12</v>
          </cell>
          <cell r="L34">
            <v>650</v>
          </cell>
          <cell r="M34">
            <v>237.9</v>
          </cell>
        </row>
        <row r="35">
          <cell r="D35" t="str">
            <v xml:space="preserve">Ломовоз </v>
          </cell>
          <cell r="E35">
            <v>8</v>
          </cell>
          <cell r="F35">
            <v>250</v>
          </cell>
          <cell r="G35">
            <v>97</v>
          </cell>
          <cell r="H35">
            <v>10</v>
          </cell>
          <cell r="I35">
            <v>450</v>
          </cell>
          <cell r="J35">
            <v>174.6</v>
          </cell>
          <cell r="K35">
            <v>12</v>
          </cell>
          <cell r="L35">
            <v>650</v>
          </cell>
          <cell r="M35">
            <v>252.2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D38" t="str">
            <v>ГАЗ-2705</v>
          </cell>
          <cell r="E38">
            <v>5</v>
          </cell>
          <cell r="F38">
            <v>250</v>
          </cell>
          <cell r="G38">
            <v>44</v>
          </cell>
          <cell r="H38">
            <v>7</v>
          </cell>
          <cell r="I38">
            <v>450</v>
          </cell>
          <cell r="J38">
            <v>79.2</v>
          </cell>
          <cell r="K38">
            <v>12</v>
          </cell>
          <cell r="L38">
            <v>650</v>
          </cell>
          <cell r="M38">
            <v>114.4</v>
          </cell>
        </row>
        <row r="39">
          <cell r="D39" t="str">
            <v>ГАЗ-3302, ГАЗ-33021, ГАЗ-330210</v>
          </cell>
          <cell r="E39">
            <v>5</v>
          </cell>
          <cell r="F39">
            <v>250</v>
          </cell>
          <cell r="G39">
            <v>48.5</v>
          </cell>
          <cell r="H39">
            <v>7</v>
          </cell>
          <cell r="I39">
            <v>450</v>
          </cell>
          <cell r="J39">
            <v>87.3</v>
          </cell>
          <cell r="K39">
            <v>12</v>
          </cell>
          <cell r="L39">
            <v>650</v>
          </cell>
          <cell r="M39">
            <v>126.1</v>
          </cell>
        </row>
        <row r="40">
          <cell r="D40" t="str">
            <v>ГАЗ-33023, ГАЗ-330252</v>
          </cell>
          <cell r="E40">
            <v>5</v>
          </cell>
          <cell r="F40">
            <v>250</v>
          </cell>
          <cell r="G40">
            <v>47</v>
          </cell>
          <cell r="H40">
            <v>7</v>
          </cell>
          <cell r="I40">
            <v>450</v>
          </cell>
          <cell r="J40">
            <v>84.600000000000009</v>
          </cell>
          <cell r="K40">
            <v>12</v>
          </cell>
          <cell r="L40">
            <v>650</v>
          </cell>
          <cell r="M40">
            <v>122.2</v>
          </cell>
        </row>
        <row r="41">
          <cell r="D41" t="str">
            <v>УАЗ -3303, УАЗ -390995</v>
          </cell>
          <cell r="E41">
            <v>5</v>
          </cell>
          <cell r="F41">
            <v>250</v>
          </cell>
          <cell r="G41">
            <v>45.5</v>
          </cell>
          <cell r="H41">
            <v>7</v>
          </cell>
          <cell r="I41">
            <v>450</v>
          </cell>
          <cell r="J41">
            <v>81.899999999999991</v>
          </cell>
          <cell r="K41">
            <v>12</v>
          </cell>
          <cell r="L41">
            <v>650</v>
          </cell>
          <cell r="M41">
            <v>118.3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D43" t="str">
            <v>Hyundai Porter</v>
          </cell>
          <cell r="E43">
            <v>5</v>
          </cell>
          <cell r="F43">
            <v>250</v>
          </cell>
          <cell r="G43">
            <v>37.5</v>
          </cell>
          <cell r="H43">
            <v>7</v>
          </cell>
          <cell r="I43">
            <v>450</v>
          </cell>
          <cell r="J43">
            <v>67.5</v>
          </cell>
          <cell r="K43">
            <v>9</v>
          </cell>
          <cell r="L43">
            <v>650</v>
          </cell>
          <cell r="M43">
            <v>97.5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D45" t="str">
            <v>ГАЗ-172412</v>
          </cell>
          <cell r="E45">
            <v>5</v>
          </cell>
          <cell r="F45">
            <v>250</v>
          </cell>
          <cell r="G45">
            <v>46.75</v>
          </cell>
          <cell r="H45">
            <v>7</v>
          </cell>
          <cell r="I45">
            <v>450</v>
          </cell>
          <cell r="J45">
            <v>84.149999999999991</v>
          </cell>
          <cell r="K45">
            <v>9</v>
          </cell>
          <cell r="L45">
            <v>650</v>
          </cell>
          <cell r="M45">
            <v>121.55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D47" t="str">
            <v>Isuzu 47051А, Isuzu 3784ЕО</v>
          </cell>
          <cell r="E47">
            <v>5</v>
          </cell>
          <cell r="F47">
            <v>250</v>
          </cell>
          <cell r="G47">
            <v>45</v>
          </cell>
          <cell r="H47">
            <v>7</v>
          </cell>
          <cell r="I47">
            <v>450</v>
          </cell>
          <cell r="J47">
            <v>81</v>
          </cell>
          <cell r="K47">
            <v>9</v>
          </cell>
          <cell r="L47">
            <v>650</v>
          </cell>
          <cell r="M47">
            <v>117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D49" t="str">
            <v>ГАЗ-3307 СМ1ш</v>
          </cell>
          <cell r="E49">
            <v>6</v>
          </cell>
          <cell r="F49">
            <v>250</v>
          </cell>
          <cell r="G49">
            <v>86.25</v>
          </cell>
          <cell r="H49">
            <v>8</v>
          </cell>
          <cell r="I49">
            <v>450</v>
          </cell>
          <cell r="J49">
            <v>155.25</v>
          </cell>
          <cell r="K49">
            <v>10</v>
          </cell>
          <cell r="L49">
            <v>650</v>
          </cell>
          <cell r="M49">
            <v>224.25</v>
          </cell>
        </row>
        <row r="50">
          <cell r="D50" t="str">
            <v>ГАЗ-САЗ-33072</v>
          </cell>
          <cell r="E50">
            <v>6</v>
          </cell>
          <cell r="F50">
            <v>250</v>
          </cell>
          <cell r="G50">
            <v>76.5</v>
          </cell>
          <cell r="H50">
            <v>8</v>
          </cell>
          <cell r="I50">
            <v>450</v>
          </cell>
          <cell r="J50">
            <v>137.70000000000002</v>
          </cell>
          <cell r="K50">
            <v>10</v>
          </cell>
          <cell r="L50">
            <v>650</v>
          </cell>
          <cell r="M50">
            <v>198.9</v>
          </cell>
        </row>
        <row r="51">
          <cell r="D51" t="str">
            <v>ГАЗ-52</v>
          </cell>
          <cell r="E51">
            <v>6</v>
          </cell>
          <cell r="F51">
            <v>250</v>
          </cell>
          <cell r="G51">
            <v>68.75</v>
          </cell>
          <cell r="H51">
            <v>8</v>
          </cell>
          <cell r="I51">
            <v>450</v>
          </cell>
          <cell r="J51">
            <v>123.75</v>
          </cell>
          <cell r="K51">
            <v>10</v>
          </cell>
          <cell r="L51">
            <v>650</v>
          </cell>
          <cell r="M51">
            <v>178.75</v>
          </cell>
        </row>
        <row r="52">
          <cell r="D52" t="str">
            <v>ЗИЛ-431412, ЗИЛ-43336, ЗИЛ-433360</v>
          </cell>
          <cell r="E52">
            <v>6</v>
          </cell>
          <cell r="F52">
            <v>250</v>
          </cell>
          <cell r="G52">
            <v>98.5</v>
          </cell>
          <cell r="H52">
            <v>8</v>
          </cell>
          <cell r="I52">
            <v>450</v>
          </cell>
          <cell r="J52">
            <v>177.29999999999998</v>
          </cell>
          <cell r="K52">
            <v>10</v>
          </cell>
          <cell r="L52">
            <v>650</v>
          </cell>
          <cell r="M52">
            <v>256.09999999999997</v>
          </cell>
        </row>
        <row r="53">
          <cell r="D53" t="str">
            <v>ЗИЛ-ММЗ-554М</v>
          </cell>
          <cell r="E53">
            <v>6</v>
          </cell>
          <cell r="F53">
            <v>250</v>
          </cell>
          <cell r="G53">
            <v>115.5</v>
          </cell>
          <cell r="H53">
            <v>8</v>
          </cell>
          <cell r="I53">
            <v>450</v>
          </cell>
          <cell r="J53">
            <v>207.9</v>
          </cell>
          <cell r="K53">
            <v>10</v>
          </cell>
          <cell r="L53">
            <v>650</v>
          </cell>
          <cell r="M53">
            <v>300.3</v>
          </cell>
        </row>
        <row r="54">
          <cell r="D54" t="str">
            <v>ЗИЛ-45085, ЗИЛ-4505</v>
          </cell>
          <cell r="E54">
            <v>6</v>
          </cell>
          <cell r="F54">
            <v>250</v>
          </cell>
          <cell r="G54">
            <v>115.5</v>
          </cell>
          <cell r="H54">
            <v>8</v>
          </cell>
          <cell r="I54">
            <v>450</v>
          </cell>
          <cell r="J54">
            <v>207.9</v>
          </cell>
          <cell r="K54">
            <v>10</v>
          </cell>
          <cell r="L54">
            <v>650</v>
          </cell>
          <cell r="M54">
            <v>300.3</v>
          </cell>
        </row>
        <row r="55">
          <cell r="D55" t="str">
            <v>ЗИЛ ММЗ-4502</v>
          </cell>
          <cell r="E55">
            <v>6</v>
          </cell>
          <cell r="F55">
            <v>250</v>
          </cell>
          <cell r="G55">
            <v>115.5</v>
          </cell>
          <cell r="H55">
            <v>8</v>
          </cell>
          <cell r="I55">
            <v>450</v>
          </cell>
          <cell r="J55">
            <v>207.9</v>
          </cell>
          <cell r="K55">
            <v>10</v>
          </cell>
          <cell r="L55">
            <v>650</v>
          </cell>
          <cell r="M55">
            <v>300.3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D57" t="str">
            <v>КАМАЗ-532020, КАМАЗ-5320</v>
          </cell>
          <cell r="E57">
            <v>8</v>
          </cell>
          <cell r="F57">
            <v>250</v>
          </cell>
          <cell r="G57">
            <v>87.5</v>
          </cell>
          <cell r="H57">
            <v>10</v>
          </cell>
          <cell r="I57">
            <v>450</v>
          </cell>
          <cell r="J57">
            <v>157.5</v>
          </cell>
          <cell r="K57">
            <v>12</v>
          </cell>
          <cell r="L57">
            <v>650</v>
          </cell>
          <cell r="M57">
            <v>227.5</v>
          </cell>
        </row>
        <row r="58">
          <cell r="D58" t="str">
            <v>КАМАЗ-5511, КАМАЗ-55111</v>
          </cell>
          <cell r="E58">
            <v>8</v>
          </cell>
          <cell r="F58">
            <v>250</v>
          </cell>
          <cell r="G58">
            <v>114</v>
          </cell>
          <cell r="H58">
            <v>10</v>
          </cell>
          <cell r="I58">
            <v>450</v>
          </cell>
          <cell r="J58">
            <v>205.20000000000002</v>
          </cell>
          <cell r="K58">
            <v>12</v>
          </cell>
          <cell r="L58">
            <v>650</v>
          </cell>
          <cell r="M58">
            <v>296.40000000000003</v>
          </cell>
        </row>
        <row r="59">
          <cell r="D59" t="str">
            <v>КАМАЗ-65115</v>
          </cell>
          <cell r="E59">
            <v>8</v>
          </cell>
          <cell r="F59">
            <v>250</v>
          </cell>
          <cell r="G59">
            <v>99.25</v>
          </cell>
          <cell r="H59">
            <v>10</v>
          </cell>
          <cell r="I59">
            <v>450</v>
          </cell>
          <cell r="J59">
            <v>178.65</v>
          </cell>
          <cell r="K59">
            <v>12</v>
          </cell>
          <cell r="L59">
            <v>650</v>
          </cell>
          <cell r="M59">
            <v>258.05</v>
          </cell>
        </row>
        <row r="60">
          <cell r="D60" t="str">
            <v>МАЗ-53371-029</v>
          </cell>
          <cell r="E60">
            <v>8</v>
          </cell>
          <cell r="F60">
            <v>250</v>
          </cell>
          <cell r="G60">
            <v>72</v>
          </cell>
          <cell r="H60">
            <v>10</v>
          </cell>
          <cell r="I60">
            <v>450</v>
          </cell>
          <cell r="J60">
            <v>129.6</v>
          </cell>
          <cell r="K60">
            <v>12</v>
          </cell>
          <cell r="L60">
            <v>650</v>
          </cell>
          <cell r="M60">
            <v>187.20000000000002</v>
          </cell>
        </row>
        <row r="61">
          <cell r="D61" t="str">
            <v>МАЗ-5551</v>
          </cell>
          <cell r="E61">
            <v>8</v>
          </cell>
          <cell r="F61">
            <v>250</v>
          </cell>
          <cell r="G61">
            <v>87.5</v>
          </cell>
          <cell r="H61">
            <v>10</v>
          </cell>
          <cell r="I61">
            <v>450</v>
          </cell>
          <cell r="J61">
            <v>157.5</v>
          </cell>
          <cell r="K61">
            <v>12</v>
          </cell>
          <cell r="L61">
            <v>650</v>
          </cell>
          <cell r="M61">
            <v>227.5</v>
          </cell>
        </row>
        <row r="62">
          <cell r="D62" t="str">
            <v>Маз-5516W4</v>
          </cell>
          <cell r="E62">
            <v>8</v>
          </cell>
          <cell r="F62">
            <v>250</v>
          </cell>
          <cell r="G62">
            <v>87.5</v>
          </cell>
          <cell r="H62">
            <v>10</v>
          </cell>
          <cell r="I62">
            <v>450</v>
          </cell>
          <cell r="J62">
            <v>157.5</v>
          </cell>
          <cell r="K62">
            <v>12</v>
          </cell>
          <cell r="L62">
            <v>650</v>
          </cell>
          <cell r="M62">
            <v>227.5</v>
          </cell>
        </row>
        <row r="63">
          <cell r="D63" t="str">
            <v>Маз-6312А9-320</v>
          </cell>
          <cell r="E63">
            <v>8</v>
          </cell>
          <cell r="F63">
            <v>250</v>
          </cell>
          <cell r="G63">
            <v>100</v>
          </cell>
          <cell r="H63">
            <v>10</v>
          </cell>
          <cell r="I63">
            <v>450</v>
          </cell>
          <cell r="J63">
            <v>180</v>
          </cell>
          <cell r="K63">
            <v>12</v>
          </cell>
          <cell r="L63">
            <v>650</v>
          </cell>
          <cell r="M63">
            <v>260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D65" t="str">
            <v xml:space="preserve">КАМАЗ-54112А  </v>
          </cell>
          <cell r="E65">
            <v>8</v>
          </cell>
          <cell r="F65">
            <v>250</v>
          </cell>
          <cell r="G65">
            <v>73.75</v>
          </cell>
          <cell r="H65">
            <v>10</v>
          </cell>
          <cell r="I65">
            <v>450</v>
          </cell>
          <cell r="J65">
            <v>132.75</v>
          </cell>
          <cell r="K65">
            <v>12</v>
          </cell>
          <cell r="L65">
            <v>650</v>
          </cell>
          <cell r="M65">
            <v>191.75</v>
          </cell>
        </row>
        <row r="66">
          <cell r="D66" t="str">
            <v xml:space="preserve">КАМАЗ-54115С   </v>
          </cell>
          <cell r="E66">
            <v>8</v>
          </cell>
          <cell r="F66">
            <v>250</v>
          </cell>
          <cell r="G66">
            <v>68.75</v>
          </cell>
          <cell r="H66">
            <v>10</v>
          </cell>
          <cell r="I66">
            <v>450</v>
          </cell>
          <cell r="J66">
            <v>123.75</v>
          </cell>
          <cell r="K66">
            <v>12</v>
          </cell>
          <cell r="L66">
            <v>650</v>
          </cell>
          <cell r="M66">
            <v>178.75</v>
          </cell>
        </row>
        <row r="67">
          <cell r="D67" t="str">
            <v xml:space="preserve">МАЗ-54323        </v>
          </cell>
          <cell r="E67">
            <v>8</v>
          </cell>
          <cell r="F67">
            <v>250</v>
          </cell>
          <cell r="G67">
            <v>87.5</v>
          </cell>
          <cell r="H67">
            <v>10</v>
          </cell>
          <cell r="I67">
            <v>450</v>
          </cell>
          <cell r="J67">
            <v>157.5</v>
          </cell>
          <cell r="K67">
            <v>12</v>
          </cell>
          <cell r="L67">
            <v>650</v>
          </cell>
          <cell r="M67">
            <v>227.5</v>
          </cell>
        </row>
        <row r="68">
          <cell r="D68" t="str">
            <v xml:space="preserve">МАЗ-64229        </v>
          </cell>
          <cell r="E68">
            <v>8</v>
          </cell>
          <cell r="F68">
            <v>250</v>
          </cell>
          <cell r="G68">
            <v>96.25</v>
          </cell>
          <cell r="H68">
            <v>10</v>
          </cell>
          <cell r="I68">
            <v>450</v>
          </cell>
          <cell r="J68">
            <v>173.25</v>
          </cell>
          <cell r="K68">
            <v>12</v>
          </cell>
          <cell r="L68">
            <v>650</v>
          </cell>
          <cell r="M68">
            <v>250.25</v>
          </cell>
        </row>
        <row r="69">
          <cell r="D69" t="str">
            <v xml:space="preserve"> МАЗ-6422А8-330        </v>
          </cell>
          <cell r="E69">
            <v>8</v>
          </cell>
          <cell r="F69">
            <v>250</v>
          </cell>
          <cell r="G69">
            <v>95</v>
          </cell>
          <cell r="H69">
            <v>10</v>
          </cell>
          <cell r="I69">
            <v>450</v>
          </cell>
          <cell r="J69">
            <v>171</v>
          </cell>
          <cell r="K69">
            <v>12</v>
          </cell>
          <cell r="L69">
            <v>650</v>
          </cell>
          <cell r="M69">
            <v>247</v>
          </cell>
        </row>
        <row r="70">
          <cell r="D70" t="str">
            <v>Маз-6430В9</v>
          </cell>
          <cell r="E70">
            <v>8</v>
          </cell>
          <cell r="F70">
            <v>250</v>
          </cell>
          <cell r="G70">
            <v>83.25</v>
          </cell>
          <cell r="H70">
            <v>10</v>
          </cell>
          <cell r="I70">
            <v>450</v>
          </cell>
          <cell r="J70">
            <v>149.85</v>
          </cell>
          <cell r="K70">
            <v>12</v>
          </cell>
          <cell r="L70">
            <v>650</v>
          </cell>
          <cell r="M70">
            <v>216.45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D73" t="str">
            <v>УАЗ-315195, УАЗ-315196</v>
          </cell>
          <cell r="E73">
            <v>4</v>
          </cell>
          <cell r="F73">
            <v>250</v>
          </cell>
          <cell r="G73">
            <v>41.75</v>
          </cell>
          <cell r="H73">
            <v>6</v>
          </cell>
          <cell r="I73">
            <v>450</v>
          </cell>
          <cell r="J73">
            <v>75.149999999999991</v>
          </cell>
          <cell r="K73">
            <v>8</v>
          </cell>
          <cell r="L73">
            <v>650</v>
          </cell>
          <cell r="M73">
            <v>108.55</v>
          </cell>
        </row>
        <row r="74">
          <cell r="D74" t="str">
            <v>ГАЗ-3102</v>
          </cell>
          <cell r="E74">
            <v>4</v>
          </cell>
          <cell r="F74">
            <v>250</v>
          </cell>
          <cell r="G74">
            <v>33</v>
          </cell>
          <cell r="H74">
            <v>6</v>
          </cell>
          <cell r="I74">
            <v>450</v>
          </cell>
          <cell r="J74">
            <v>59.4</v>
          </cell>
          <cell r="K74">
            <v>8</v>
          </cell>
          <cell r="L74">
            <v>650</v>
          </cell>
          <cell r="M74">
            <v>85.8</v>
          </cell>
        </row>
        <row r="75">
          <cell r="D75" t="str">
            <v>ГАЗ-31105</v>
          </cell>
          <cell r="E75">
            <v>4</v>
          </cell>
          <cell r="F75">
            <v>250</v>
          </cell>
          <cell r="G75">
            <v>33.25</v>
          </cell>
          <cell r="H75">
            <v>6</v>
          </cell>
          <cell r="I75">
            <v>450</v>
          </cell>
          <cell r="J75">
            <v>59.85</v>
          </cell>
          <cell r="K75">
            <v>8</v>
          </cell>
          <cell r="L75">
            <v>650</v>
          </cell>
          <cell r="M75">
            <v>86.45</v>
          </cell>
        </row>
        <row r="76">
          <cell r="D76" t="str">
            <v>Skoda Rapid</v>
          </cell>
          <cell r="E76">
            <v>4</v>
          </cell>
          <cell r="F76">
            <v>250</v>
          </cell>
          <cell r="G76">
            <v>24.25</v>
          </cell>
          <cell r="H76">
            <v>6</v>
          </cell>
          <cell r="I76">
            <v>450</v>
          </cell>
          <cell r="J76">
            <v>43.65</v>
          </cell>
          <cell r="K76">
            <v>8</v>
          </cell>
          <cell r="L76">
            <v>650</v>
          </cell>
          <cell r="M76">
            <v>63.05</v>
          </cell>
        </row>
        <row r="77">
          <cell r="D77" t="str">
            <v>ГАЗ-3110</v>
          </cell>
          <cell r="E77">
            <v>4</v>
          </cell>
          <cell r="F77">
            <v>250</v>
          </cell>
          <cell r="G77">
            <v>35.75</v>
          </cell>
          <cell r="H77">
            <v>6</v>
          </cell>
          <cell r="I77">
            <v>450</v>
          </cell>
          <cell r="J77">
            <v>64.350000000000009</v>
          </cell>
          <cell r="K77">
            <v>8</v>
          </cell>
          <cell r="L77">
            <v>650</v>
          </cell>
          <cell r="M77">
            <v>92.95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D79" t="str">
            <v>Toyota Land Cruiser 100</v>
          </cell>
          <cell r="E79">
            <v>4</v>
          </cell>
          <cell r="F79">
            <v>250</v>
          </cell>
          <cell r="G79">
            <v>55</v>
          </cell>
          <cell r="H79">
            <v>6</v>
          </cell>
          <cell r="I79">
            <v>450</v>
          </cell>
          <cell r="J79">
            <v>99</v>
          </cell>
          <cell r="K79">
            <v>8</v>
          </cell>
          <cell r="L79">
            <v>650</v>
          </cell>
          <cell r="M79">
            <v>143</v>
          </cell>
        </row>
        <row r="80">
          <cell r="D80" t="str">
            <v>Toyota Land Cruiser 200</v>
          </cell>
          <cell r="E80">
            <v>4</v>
          </cell>
          <cell r="F80">
            <v>250</v>
          </cell>
          <cell r="G80">
            <v>55</v>
          </cell>
          <cell r="H80">
            <v>6</v>
          </cell>
          <cell r="I80">
            <v>450</v>
          </cell>
          <cell r="J80">
            <v>99</v>
          </cell>
          <cell r="K80">
            <v>8</v>
          </cell>
          <cell r="L80">
            <v>650</v>
          </cell>
          <cell r="M80">
            <v>143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D82" t="str">
            <v>Lexus LX 570</v>
          </cell>
          <cell r="E82">
            <v>4</v>
          </cell>
          <cell r="F82">
            <v>250</v>
          </cell>
          <cell r="G82">
            <v>60.75</v>
          </cell>
          <cell r="H82">
            <v>6</v>
          </cell>
          <cell r="I82">
            <v>450</v>
          </cell>
          <cell r="J82">
            <v>109.35000000000001</v>
          </cell>
          <cell r="K82">
            <v>8</v>
          </cell>
          <cell r="L82">
            <v>650</v>
          </cell>
          <cell r="M82">
            <v>157.95000000000002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D84" t="str">
            <v>Toyota Camry</v>
          </cell>
          <cell r="E84">
            <v>4</v>
          </cell>
          <cell r="F84">
            <v>250</v>
          </cell>
          <cell r="G84">
            <v>30.5</v>
          </cell>
          <cell r="H84">
            <v>6</v>
          </cell>
          <cell r="I84">
            <v>450</v>
          </cell>
          <cell r="J84">
            <v>54.9</v>
          </cell>
          <cell r="K84">
            <v>8</v>
          </cell>
          <cell r="L84">
            <v>650</v>
          </cell>
          <cell r="M84">
            <v>79.3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D86" t="str">
            <v>ТВЕРЬСТРОЙМАШ 99394 54 т</v>
          </cell>
          <cell r="E86">
            <v>8</v>
          </cell>
          <cell r="F86">
            <v>250</v>
          </cell>
          <cell r="G86">
            <v>83.25</v>
          </cell>
          <cell r="H86">
            <v>10</v>
          </cell>
          <cell r="I86">
            <v>450</v>
          </cell>
          <cell r="J86">
            <v>149.85</v>
          </cell>
          <cell r="K86">
            <v>12</v>
          </cell>
          <cell r="L86">
            <v>650</v>
          </cell>
          <cell r="M86">
            <v>216.45</v>
          </cell>
        </row>
        <row r="87">
          <cell r="D87" t="str">
            <v>ЧМЗП 99865 38 т</v>
          </cell>
          <cell r="E87">
            <v>8</v>
          </cell>
          <cell r="F87">
            <v>250</v>
          </cell>
          <cell r="G87">
            <v>83.25</v>
          </cell>
          <cell r="H87">
            <v>10</v>
          </cell>
          <cell r="I87">
            <v>450</v>
          </cell>
          <cell r="J87">
            <v>149.85</v>
          </cell>
          <cell r="K87">
            <v>12</v>
          </cell>
          <cell r="L87">
            <v>650</v>
          </cell>
          <cell r="M87">
            <v>216.45</v>
          </cell>
        </row>
        <row r="88"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D89" t="str">
            <v>Mitsubisi Pajero IV</v>
          </cell>
          <cell r="E89">
            <v>4</v>
          </cell>
          <cell r="F89">
            <v>250</v>
          </cell>
          <cell r="G89">
            <v>33</v>
          </cell>
          <cell r="H89">
            <v>6</v>
          </cell>
          <cell r="I89">
            <v>450</v>
          </cell>
          <cell r="J89">
            <v>59.4</v>
          </cell>
          <cell r="K89">
            <v>8</v>
          </cell>
          <cell r="L89">
            <v>650</v>
          </cell>
          <cell r="M89">
            <v>85.8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D91" t="str">
            <v>Renault Logan</v>
          </cell>
          <cell r="E91">
            <v>4</v>
          </cell>
          <cell r="F91">
            <v>250</v>
          </cell>
          <cell r="G91">
            <v>23.75</v>
          </cell>
          <cell r="H91">
            <v>6</v>
          </cell>
          <cell r="I91">
            <v>450</v>
          </cell>
          <cell r="J91">
            <v>42.75</v>
          </cell>
          <cell r="K91">
            <v>8</v>
          </cell>
          <cell r="L91">
            <v>650</v>
          </cell>
          <cell r="M91">
            <v>61.75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D93" t="str">
            <v>Nissan Almera</v>
          </cell>
          <cell r="E93">
            <v>4</v>
          </cell>
          <cell r="F93">
            <v>250</v>
          </cell>
          <cell r="G93">
            <v>24.25</v>
          </cell>
          <cell r="H93">
            <v>6</v>
          </cell>
          <cell r="I93">
            <v>450</v>
          </cell>
          <cell r="J93">
            <v>43.65</v>
          </cell>
          <cell r="K93">
            <v>8</v>
          </cell>
          <cell r="L93">
            <v>650</v>
          </cell>
          <cell r="M93">
            <v>63.05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аз"/>
      <sheetName val="Хайс"/>
      <sheetName val="Нефаз"/>
      <sheetName val="Волжанин"/>
      <sheetName val="Паз3205"/>
      <sheetName val="Лаборат_Газ27322F"/>
      <sheetName val="Газ32213"/>
      <sheetName val="НЗАС4951"/>
      <sheetName val="Уаз39629"/>
      <sheetName val="Луидор"/>
      <sheetName val="Санитар27322Н"/>
      <sheetName val="Аврора"/>
      <sheetName val="Паз4234"/>
      <sheetName val="Маз107"/>
      <sheetName val="Маз103"/>
      <sheetName val="Газ2705"/>
      <sheetName val="Газ3302"/>
      <sheetName val="Газ33023,52"/>
      <sheetName val="Уаз3303,3909"/>
      <sheetName val="Портер"/>
      <sheetName val="Газели_рефриж"/>
      <sheetName val="Isuzu,Hyundai"/>
      <sheetName val="Газ3307"/>
      <sheetName val="ГазСаз33072"/>
      <sheetName val="Газ53"/>
      <sheetName val="Зил43"/>
      <sheetName val="ЗилМмз554"/>
      <sheetName val="Зил4505"/>
      <sheetName val="ЗилМмз4502"/>
      <sheetName val="Камаз 5320"/>
      <sheetName val="Камаз 5511"/>
      <sheetName val="Камаз 65115"/>
      <sheetName val="МАЗ 53371"/>
      <sheetName val="МАЗ5551"/>
      <sheetName val="МАЗ5516W4"/>
      <sheetName val="МАЗ6312А9"/>
      <sheetName val="Камаз54112"/>
      <sheetName val="КАМАЗ54115"/>
      <sheetName val="МАЗ54323"/>
      <sheetName val="МАЗ64229"/>
      <sheetName val="МАЗ6422А8"/>
      <sheetName val="МАЗ6430В9"/>
      <sheetName val="УАЗ 3151"/>
      <sheetName val="ГАЗ 3102"/>
      <sheetName val="ГАЗ 31105"/>
      <sheetName val="ГАЗ 3110"/>
      <sheetName val="Крузак100"/>
      <sheetName val="Крузак200"/>
      <sheetName val="INFINITI"/>
      <sheetName val="Лексус"/>
      <sheetName val="Шкода"/>
      <sheetName val="Камри"/>
      <sheetName val="Трал 54т"/>
      <sheetName val="Трал 38 т"/>
      <sheetName val="Паджеро"/>
      <sheetName val="Логан"/>
      <sheetName val="Хайлендер"/>
      <sheetName val="Алмера"/>
      <sheetName val="Тарифы"/>
      <sheetName val="Свод"/>
      <sheetName val="БАЗА"/>
      <sheetName val="Прайс"/>
      <sheetName val="КМУ"/>
      <sheetName val="Прайс 2021"/>
      <sheetName val="ВПР"/>
      <sheetName val="Печать"/>
      <sheetName val="Лист3"/>
      <sheetName val="Лист1"/>
      <sheetName val="СС 2022"/>
      <sheetName val="предложение сторона"/>
    </sheetNames>
    <sheetDataSet>
      <sheetData sheetId="0">
        <row r="27">
          <cell r="F27">
            <v>0</v>
          </cell>
        </row>
        <row r="29">
          <cell r="F29">
            <v>408.6503571428571</v>
          </cell>
        </row>
        <row r="40">
          <cell r="F40">
            <v>9662.9705084745765</v>
          </cell>
        </row>
        <row r="53">
          <cell r="F53">
            <v>0</v>
          </cell>
        </row>
        <row r="56">
          <cell r="F56">
            <v>3047.0787993400709</v>
          </cell>
        </row>
        <row r="61">
          <cell r="F61">
            <v>148.75</v>
          </cell>
        </row>
        <row r="63">
          <cell r="F63">
            <v>283.33333333333331</v>
          </cell>
        </row>
        <row r="77">
          <cell r="F77">
            <v>2590.0169794390604</v>
          </cell>
        </row>
      </sheetData>
      <sheetData sheetId="1">
        <row r="27">
          <cell r="F27">
            <v>214.3801785279401</v>
          </cell>
        </row>
        <row r="29">
          <cell r="F29">
            <v>192.26133333333331</v>
          </cell>
        </row>
        <row r="40">
          <cell r="F40">
            <v>2472.6793220338986</v>
          </cell>
        </row>
        <row r="53">
          <cell r="F53">
            <v>0</v>
          </cell>
        </row>
        <row r="56">
          <cell r="F56">
            <v>2794.6620335760999</v>
          </cell>
        </row>
        <row r="61">
          <cell r="F61">
            <v>850.98257805938579</v>
          </cell>
        </row>
        <row r="63">
          <cell r="F63">
            <v>92.232700395055431</v>
          </cell>
        </row>
        <row r="77">
          <cell r="F77">
            <v>2375.462728539685</v>
          </cell>
        </row>
      </sheetData>
      <sheetData sheetId="2">
        <row r="27">
          <cell r="F27">
            <v>1385.6670890749799</v>
          </cell>
        </row>
        <row r="29">
          <cell r="F29">
            <v>548.2551176470588</v>
          </cell>
        </row>
        <row r="40">
          <cell r="F40">
            <v>6029.4616949152542</v>
          </cell>
        </row>
        <row r="53">
          <cell r="F53">
            <v>28.472980213371454</v>
          </cell>
        </row>
        <row r="56">
          <cell r="F56">
            <v>2853.8564449999994</v>
          </cell>
        </row>
        <row r="61">
          <cell r="F61">
            <v>2132.4970215938279</v>
          </cell>
        </row>
        <row r="63">
          <cell r="F63">
            <v>132.48296724442923</v>
          </cell>
        </row>
        <row r="77">
          <cell r="F77">
            <v>2425.7779782499993</v>
          </cell>
        </row>
      </sheetData>
      <sheetData sheetId="3"/>
      <sheetData sheetId="4">
        <row r="27">
          <cell r="F27">
            <v>606.7746120964282</v>
          </cell>
        </row>
        <row r="29">
          <cell r="F29">
            <v>74.600571428571442</v>
          </cell>
        </row>
        <row r="40">
          <cell r="F40">
            <v>1761.9091525423735</v>
          </cell>
        </row>
        <row r="53">
          <cell r="F53">
            <v>0</v>
          </cell>
        </row>
        <row r="56">
          <cell r="F56">
            <v>1583.6536962499999</v>
          </cell>
        </row>
        <row r="61">
          <cell r="F61">
            <v>181.37083702041835</v>
          </cell>
        </row>
        <row r="63">
          <cell r="F63">
            <v>73.526773678244908</v>
          </cell>
        </row>
        <row r="77">
          <cell r="F77">
            <v>1346.1056418124999</v>
          </cell>
        </row>
      </sheetData>
      <sheetData sheetId="5">
        <row r="27">
          <cell r="F27">
            <v>1972.0174893133915</v>
          </cell>
        </row>
        <row r="29">
          <cell r="F29">
            <v>173.95149473684211</v>
          </cell>
        </row>
        <row r="40">
          <cell r="F40">
            <v>3220.2806779661018</v>
          </cell>
        </row>
        <row r="53">
          <cell r="F53">
            <v>45.660432495616597</v>
          </cell>
        </row>
        <row r="56">
          <cell r="F56">
            <v>2524.1507375000001</v>
          </cell>
        </row>
        <row r="61">
          <cell r="F61">
            <v>1378.6240708189655</v>
          </cell>
        </row>
        <row r="63">
          <cell r="F63">
            <v>51.724137931034484</v>
          </cell>
        </row>
        <row r="77">
          <cell r="F77">
            <v>2145.528126875</v>
          </cell>
        </row>
      </sheetData>
      <sheetData sheetId="6"/>
      <sheetData sheetId="7"/>
      <sheetData sheetId="8">
        <row r="27">
          <cell r="F27">
            <v>1972.0174893133915</v>
          </cell>
        </row>
        <row r="29">
          <cell r="F29">
            <v>135.2544</v>
          </cell>
        </row>
        <row r="40">
          <cell r="F40">
            <v>3513.8074576271197</v>
          </cell>
        </row>
        <row r="53">
          <cell r="F53">
            <v>0</v>
          </cell>
        </row>
        <row r="56">
          <cell r="F56">
            <v>2524.1507375000001</v>
          </cell>
        </row>
        <row r="61">
          <cell r="F61">
            <v>27.17651422959889</v>
          </cell>
        </row>
        <row r="63">
          <cell r="F63">
            <v>55.325034578146607</v>
          </cell>
        </row>
        <row r="77">
          <cell r="F77">
            <v>2145.528126875</v>
          </cell>
        </row>
      </sheetData>
      <sheetData sheetId="9">
        <row r="27">
          <cell r="F27">
            <v>1972.0174893133915</v>
          </cell>
        </row>
        <row r="29">
          <cell r="F29">
            <v>0</v>
          </cell>
        </row>
        <row r="40">
          <cell r="F40">
            <v>3042.0462711864411</v>
          </cell>
        </row>
        <row r="53">
          <cell r="F53">
            <v>29.365792845083302</v>
          </cell>
        </row>
        <row r="56">
          <cell r="F56">
            <v>2445.0098899999998</v>
          </cell>
        </row>
        <row r="61">
          <cell r="F61">
            <v>453.48424865976716</v>
          </cell>
        </row>
        <row r="63">
          <cell r="F63">
            <v>33.265570134910369</v>
          </cell>
        </row>
        <row r="77">
          <cell r="F77">
            <v>2078.2584064999996</v>
          </cell>
        </row>
      </sheetData>
      <sheetData sheetId="10">
        <row r="27">
          <cell r="F27">
            <v>1972.0174893133915</v>
          </cell>
        </row>
        <row r="29">
          <cell r="F29">
            <v>173.95149473684211</v>
          </cell>
        </row>
        <row r="40">
          <cell r="F40">
            <v>3203.1515254237288</v>
          </cell>
        </row>
        <row r="53">
          <cell r="F53">
            <v>42.887531736773482</v>
          </cell>
        </row>
        <row r="56">
          <cell r="F56">
            <v>2524.1507375000001</v>
          </cell>
        </row>
        <row r="61">
          <cell r="F61">
            <v>1594.82995951417</v>
          </cell>
        </row>
        <row r="63">
          <cell r="F63">
            <v>53.319838056680162</v>
          </cell>
        </row>
        <row r="77">
          <cell r="F77">
            <v>2145.528126875</v>
          </cell>
        </row>
      </sheetData>
      <sheetData sheetId="11">
        <row r="27">
          <cell r="F27">
            <v>1624.6558559078708</v>
          </cell>
        </row>
        <row r="29">
          <cell r="F29">
            <v>548.2551176470588</v>
          </cell>
        </row>
        <row r="40">
          <cell r="F40">
            <v>5138.7457627118647</v>
          </cell>
        </row>
        <row r="53">
          <cell r="F53">
            <v>0</v>
          </cell>
        </row>
        <row r="56">
          <cell r="F56">
            <v>2764.1692759999996</v>
          </cell>
        </row>
        <row r="61">
          <cell r="F61">
            <v>2319.1332513019856</v>
          </cell>
        </row>
        <row r="63">
          <cell r="F63">
            <v>105.03744339951236</v>
          </cell>
        </row>
        <row r="77">
          <cell r="F77">
            <v>2349.5438845999997</v>
          </cell>
        </row>
      </sheetData>
      <sheetData sheetId="12">
        <row r="27">
          <cell r="F27">
            <v>390.13425628014124</v>
          </cell>
        </row>
        <row r="29">
          <cell r="F29">
            <v>74.600571428571442</v>
          </cell>
        </row>
        <row r="40">
          <cell r="F40">
            <v>1454.6603389830509</v>
          </cell>
        </row>
        <row r="53">
          <cell r="F53">
            <v>0</v>
          </cell>
        </row>
        <row r="56">
          <cell r="F56">
            <v>1592.8004929999997</v>
          </cell>
        </row>
        <row r="61">
          <cell r="F61">
            <v>1400.1855056955874</v>
          </cell>
        </row>
        <row r="63">
          <cell r="F63">
            <v>107.05472557840849</v>
          </cell>
        </row>
        <row r="77">
          <cell r="F77">
            <v>1353.8804190499998</v>
          </cell>
        </row>
      </sheetData>
      <sheetData sheetId="13">
        <row r="27">
          <cell r="F27">
            <v>309.24381806034569</v>
          </cell>
        </row>
        <row r="29">
          <cell r="F29">
            <v>731.0068235294118</v>
          </cell>
        </row>
        <row r="40">
          <cell r="F40">
            <v>7708.1186440677966</v>
          </cell>
        </row>
        <row r="53">
          <cell r="F53">
            <v>0</v>
          </cell>
        </row>
        <row r="56">
          <cell r="F56">
            <v>3312.8372075000007</v>
          </cell>
        </row>
        <row r="61">
          <cell r="F61">
            <v>4556.7684659322322</v>
          </cell>
        </row>
        <row r="63">
          <cell r="F63">
            <v>104.80017376194613</v>
          </cell>
        </row>
        <row r="77">
          <cell r="F77">
            <v>2815.9116263750007</v>
          </cell>
        </row>
      </sheetData>
      <sheetData sheetId="14">
        <row r="27">
          <cell r="F27">
            <v>396.72929810922494</v>
          </cell>
        </row>
        <row r="29">
          <cell r="F29">
            <v>548.2551176470588</v>
          </cell>
        </row>
        <row r="40">
          <cell r="F40">
            <v>6406.3030508474576</v>
          </cell>
        </row>
        <row r="53">
          <cell r="F53">
            <v>0</v>
          </cell>
        </row>
        <row r="56">
          <cell r="F56">
            <v>2764.1692759999996</v>
          </cell>
        </row>
        <row r="61">
          <cell r="F61">
            <v>3160.4423813079916</v>
          </cell>
        </row>
        <row r="63">
          <cell r="F63">
            <v>104.21166306695464</v>
          </cell>
        </row>
        <row r="77">
          <cell r="F77">
            <v>2349.5438845999997</v>
          </cell>
        </row>
      </sheetData>
      <sheetData sheetId="15"/>
      <sheetData sheetId="16">
        <row r="27">
          <cell r="F27">
            <v>0</v>
          </cell>
        </row>
        <row r="29">
          <cell r="F29">
            <v>173.95182872435328</v>
          </cell>
        </row>
        <row r="40">
          <cell r="F40">
            <v>3155.9196610169497</v>
          </cell>
        </row>
        <row r="53">
          <cell r="F53">
            <v>1.9295764490162066</v>
          </cell>
        </row>
        <row r="56">
          <cell r="F56">
            <v>3537.9529880000009</v>
          </cell>
        </row>
        <row r="61">
          <cell r="F61">
            <v>116.38820011320118</v>
          </cell>
        </row>
        <row r="63">
          <cell r="F63">
            <v>78.32055840522267</v>
          </cell>
        </row>
        <row r="77">
          <cell r="F77">
            <v>3007.2600398000009</v>
          </cell>
        </row>
      </sheetData>
      <sheetData sheetId="17">
        <row r="27">
          <cell r="F27">
            <v>1223.0287918696843</v>
          </cell>
        </row>
        <row r="29">
          <cell r="F29">
            <v>173.95149473684211</v>
          </cell>
        </row>
        <row r="40">
          <cell r="F40">
            <v>3058.3138983050853</v>
          </cell>
        </row>
        <row r="53">
          <cell r="F53">
            <v>9.8670085124655849</v>
          </cell>
        </row>
        <row r="56">
          <cell r="F56">
            <v>3537.9529880000009</v>
          </cell>
        </row>
        <row r="61">
          <cell r="F61">
            <v>245.63097723028318</v>
          </cell>
        </row>
        <row r="63">
          <cell r="F63">
            <v>83.624180327868856</v>
          </cell>
        </row>
        <row r="77">
          <cell r="F77">
            <v>3007.2600398000009</v>
          </cell>
        </row>
      </sheetData>
      <sheetData sheetId="18">
        <row r="27">
          <cell r="F27">
            <v>1223.0287918696843</v>
          </cell>
        </row>
        <row r="29">
          <cell r="F29">
            <v>127.93912258064518</v>
          </cell>
        </row>
        <row r="40">
          <cell r="F40">
            <v>2960.708135593221</v>
          </cell>
        </row>
        <row r="53">
          <cell r="F53">
            <v>0</v>
          </cell>
        </row>
        <row r="56">
          <cell r="F56">
            <v>3537.9529880000009</v>
          </cell>
        </row>
        <row r="61">
          <cell r="F61">
            <v>68.129072523181819</v>
          </cell>
        </row>
        <row r="63">
          <cell r="F63">
            <v>70.35247727272727</v>
          </cell>
        </row>
        <row r="77">
          <cell r="F77">
            <v>3007.2600398000009</v>
          </cell>
        </row>
      </sheetData>
      <sheetData sheetId="19"/>
      <sheetData sheetId="20">
        <row r="27">
          <cell r="F27">
            <v>1100.3721544847242</v>
          </cell>
        </row>
        <row r="29">
          <cell r="F29">
            <v>173.95182872435328</v>
          </cell>
        </row>
        <row r="40">
          <cell r="F40">
            <v>3042.0462711864411</v>
          </cell>
        </row>
        <row r="53">
          <cell r="F53">
            <v>0</v>
          </cell>
        </row>
        <row r="56">
          <cell r="F56">
            <v>2307.9123612500002</v>
          </cell>
        </row>
        <row r="61">
          <cell r="F61">
            <v>177.76568062400352</v>
          </cell>
        </row>
        <row r="63">
          <cell r="F63">
            <v>54.984572796648216</v>
          </cell>
        </row>
        <row r="77">
          <cell r="F77">
            <v>1961.7255070625001</v>
          </cell>
        </row>
      </sheetData>
      <sheetData sheetId="21">
        <row r="27">
          <cell r="F27">
            <v>1833.9535908078735</v>
          </cell>
        </row>
        <row r="29">
          <cell r="F29">
            <v>245.66152289400458</v>
          </cell>
        </row>
        <row r="40">
          <cell r="F40">
            <v>3083.2474576271188</v>
          </cell>
        </row>
        <row r="53">
          <cell r="F53">
            <v>0</v>
          </cell>
        </row>
        <row r="56">
          <cell r="F56">
            <v>2307.9123612500002</v>
          </cell>
        </row>
        <row r="61">
          <cell r="F61">
            <v>375.78317025440248</v>
          </cell>
        </row>
        <row r="63">
          <cell r="F63">
            <v>55.091739130434782</v>
          </cell>
        </row>
        <row r="77">
          <cell r="F77">
            <v>1961.7255070625001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7">
          <cell r="F27">
            <v>3894.8385687310283</v>
          </cell>
        </row>
        <row r="29">
          <cell r="F29">
            <v>1192.1699999999998</v>
          </cell>
        </row>
        <row r="40">
          <cell r="F40">
            <v>6800.2735593220341</v>
          </cell>
        </row>
        <row r="53">
          <cell r="F53">
            <v>0</v>
          </cell>
        </row>
        <row r="56">
          <cell r="F56">
            <v>3343.9651159999994</v>
          </cell>
        </row>
        <row r="61">
          <cell r="F61">
            <v>2673.4736842105262</v>
          </cell>
        </row>
        <row r="63">
          <cell r="F63">
            <v>158.35888286557332</v>
          </cell>
        </row>
        <row r="77">
          <cell r="F77">
            <v>2842.3703485999995</v>
          </cell>
        </row>
      </sheetData>
      <sheetData sheetId="32"/>
      <sheetData sheetId="33"/>
      <sheetData sheetId="34">
        <row r="27">
          <cell r="F27">
            <v>3894.8385687310283</v>
          </cell>
        </row>
        <row r="29">
          <cell r="F29">
            <v>558.86007272727272</v>
          </cell>
        </row>
        <row r="40">
          <cell r="F40">
            <v>5995.2033898305081</v>
          </cell>
        </row>
        <row r="53">
          <cell r="F53">
            <v>139.13197003193318</v>
          </cell>
        </row>
        <row r="56">
          <cell r="F56">
            <v>3343.9651159999994</v>
          </cell>
        </row>
        <row r="61">
          <cell r="F61">
            <v>2627.9411231884055</v>
          </cell>
        </row>
        <row r="63">
          <cell r="F63">
            <v>127.27261171497584</v>
          </cell>
        </row>
        <row r="77">
          <cell r="F77">
            <v>2842.3703485999995</v>
          </cell>
        </row>
      </sheetData>
      <sheetData sheetId="35">
        <row r="27">
          <cell r="F27">
            <v>3894.8385687310283</v>
          </cell>
        </row>
        <row r="29">
          <cell r="F29">
            <v>1040</v>
          </cell>
        </row>
        <row r="40">
          <cell r="F40">
            <v>6851.6610169491523</v>
          </cell>
        </row>
        <row r="53">
          <cell r="F53">
            <v>141.24293785310735</v>
          </cell>
        </row>
        <row r="56">
          <cell r="F56">
            <v>3343.9651159999994</v>
          </cell>
        </row>
        <row r="61">
          <cell r="F61">
            <v>2861.3555555555554</v>
          </cell>
        </row>
        <row r="63">
          <cell r="F63">
            <v>224.62240000000003</v>
          </cell>
        </row>
        <row r="77">
          <cell r="F77">
            <v>2842.3703485999995</v>
          </cell>
        </row>
      </sheetData>
      <sheetData sheetId="36"/>
      <sheetData sheetId="37"/>
      <sheetData sheetId="38"/>
      <sheetData sheetId="39"/>
      <sheetData sheetId="40">
        <row r="27">
          <cell r="F27">
            <v>2462.3864929569254</v>
          </cell>
        </row>
        <row r="29">
          <cell r="F29">
            <v>1453.7501120731122</v>
          </cell>
        </row>
        <row r="40">
          <cell r="F40">
            <v>6509.077966101695</v>
          </cell>
        </row>
        <row r="53">
          <cell r="F53">
            <v>0</v>
          </cell>
        </row>
        <row r="56">
          <cell r="F56">
            <v>3883.1748260000004</v>
          </cell>
        </row>
        <row r="61">
          <cell r="F61">
            <v>1075.6389468622122</v>
          </cell>
        </row>
        <row r="63">
          <cell r="F63">
            <v>66.382672811059905</v>
          </cell>
        </row>
        <row r="77">
          <cell r="F77">
            <v>3300.6986021000002</v>
          </cell>
        </row>
      </sheetData>
      <sheetData sheetId="41">
        <row r="27">
          <cell r="F27">
            <v>2462.3864929569254</v>
          </cell>
        </row>
        <row r="29">
          <cell r="F29">
            <v>1513.0366428170594</v>
          </cell>
        </row>
        <row r="40">
          <cell r="F40">
            <v>5704.007796610169</v>
          </cell>
        </row>
        <row r="53">
          <cell r="F53">
            <v>511.98289492218419</v>
          </cell>
        </row>
        <row r="56">
          <cell r="F56">
            <v>4300.5351113745546</v>
          </cell>
        </row>
        <row r="61">
          <cell r="F61">
            <v>3702.6134394026931</v>
          </cell>
        </row>
        <row r="63">
          <cell r="F63">
            <v>217.12533665170434</v>
          </cell>
        </row>
        <row r="77">
          <cell r="F77">
            <v>3655.4548446683712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>
        <row r="27">
          <cell r="F27">
            <v>142.74823028582674</v>
          </cell>
        </row>
        <row r="29">
          <cell r="F29">
            <v>1320</v>
          </cell>
        </row>
        <row r="40">
          <cell r="F40">
            <v>5745.75</v>
          </cell>
        </row>
        <row r="53">
          <cell r="F53">
            <v>442.70242914979758</v>
          </cell>
        </row>
        <row r="56">
          <cell r="F56">
            <v>2039.36</v>
          </cell>
        </row>
        <row r="61">
          <cell r="F61">
            <v>8992.8097165991894</v>
          </cell>
        </row>
        <row r="63">
          <cell r="F63">
            <v>292.4655870445344</v>
          </cell>
        </row>
        <row r="77">
          <cell r="F77">
            <v>1733.4559999999999</v>
          </cell>
        </row>
      </sheetData>
      <sheetData sheetId="49"/>
      <sheetData sheetId="50">
        <row r="27">
          <cell r="F27">
            <v>456.30000000000007</v>
          </cell>
        </row>
        <row r="29">
          <cell r="F29">
            <v>91.525200000000012</v>
          </cell>
        </row>
        <row r="40">
          <cell r="F40">
            <v>1577.9598305084749</v>
          </cell>
        </row>
        <row r="53">
          <cell r="F53">
            <v>0</v>
          </cell>
        </row>
        <row r="56">
          <cell r="F56">
            <v>2927.7191780821918</v>
          </cell>
        </row>
        <row r="61">
          <cell r="F61">
            <v>738.68744939271255</v>
          </cell>
        </row>
        <row r="63">
          <cell r="F63">
            <v>40.984129554655873</v>
          </cell>
        </row>
        <row r="77">
          <cell r="F77">
            <v>2488.561301369863</v>
          </cell>
        </row>
      </sheetData>
      <sheetData sheetId="51">
        <row r="27">
          <cell r="F27">
            <v>142.74823028582674</v>
          </cell>
        </row>
        <row r="29">
          <cell r="F29">
            <v>254.22</v>
          </cell>
        </row>
        <row r="40">
          <cell r="F40">
            <v>1984.6505084745766</v>
          </cell>
        </row>
        <row r="53">
          <cell r="F53">
            <v>58.186189162659353</v>
          </cell>
        </row>
        <row r="56">
          <cell r="F56">
            <v>2927.7191780821918</v>
          </cell>
        </row>
        <row r="61">
          <cell r="F61">
            <v>1252.6550588927937</v>
          </cell>
        </row>
        <row r="63">
          <cell r="F63">
            <v>137.20401418026995</v>
          </cell>
        </row>
        <row r="77">
          <cell r="F77">
            <v>2488.561301369863</v>
          </cell>
        </row>
      </sheetData>
      <sheetData sheetId="52">
        <row r="27">
          <cell r="F27">
            <v>2458.9500000000003</v>
          </cell>
        </row>
        <row r="29">
          <cell r="F29">
            <v>2112.0157755331088</v>
          </cell>
        </row>
        <row r="40">
          <cell r="F40">
            <v>5704.007796610169</v>
          </cell>
        </row>
        <row r="53">
          <cell r="F53">
            <v>543.24206866579755</v>
          </cell>
        </row>
        <row r="56">
          <cell r="F56">
            <v>4300.5351113745546</v>
          </cell>
        </row>
        <row r="61">
          <cell r="F61">
            <v>4860.3273083928825</v>
          </cell>
        </row>
        <row r="63">
          <cell r="F63">
            <v>221.06</v>
          </cell>
        </row>
        <row r="77">
          <cell r="F77">
            <v>3655.4548446683712</v>
          </cell>
        </row>
      </sheetData>
      <sheetData sheetId="53">
        <row r="27">
          <cell r="F27">
            <v>2458.9500000000003</v>
          </cell>
        </row>
        <row r="29">
          <cell r="F29">
            <v>1521.7246150392816</v>
          </cell>
        </row>
        <row r="40">
          <cell r="F40">
            <v>5704.007796610169</v>
          </cell>
        </row>
        <row r="53">
          <cell r="F53">
            <v>543.24206866579755</v>
          </cell>
        </row>
        <row r="56">
          <cell r="F56">
            <v>4300.5351113745546</v>
          </cell>
        </row>
        <row r="61">
          <cell r="F61">
            <v>2901.1324786324785</v>
          </cell>
        </row>
        <row r="63">
          <cell r="F63">
            <v>221.06</v>
          </cell>
        </row>
        <row r="77">
          <cell r="F77">
            <v>3655.4548446683712</v>
          </cell>
        </row>
      </sheetData>
      <sheetData sheetId="54"/>
      <sheetData sheetId="55">
        <row r="27">
          <cell r="F27">
            <v>459.12832423051867</v>
          </cell>
        </row>
        <row r="29">
          <cell r="F29">
            <v>143.79368421052629</v>
          </cell>
        </row>
        <row r="40">
          <cell r="F40">
            <v>1545.4245762711867</v>
          </cell>
        </row>
        <row r="53">
          <cell r="F53">
            <v>0</v>
          </cell>
        </row>
        <row r="56">
          <cell r="F56">
            <v>2100.4674125000001</v>
          </cell>
        </row>
        <row r="61">
          <cell r="F61">
            <v>364.64472292513398</v>
          </cell>
        </row>
        <row r="63">
          <cell r="F63">
            <v>41.521706856194093</v>
          </cell>
        </row>
        <row r="77">
          <cell r="F77">
            <v>1785.3973006250001</v>
          </cell>
        </row>
      </sheetData>
      <sheetData sheetId="56"/>
      <sheetData sheetId="57">
        <row r="27">
          <cell r="F27">
            <v>0</v>
          </cell>
        </row>
        <row r="29">
          <cell r="F29">
            <v>157.62</v>
          </cell>
        </row>
        <row r="40">
          <cell r="F40">
            <v>1577.9598305084749</v>
          </cell>
        </row>
        <row r="53">
          <cell r="F53">
            <v>90.119314325916548</v>
          </cell>
        </row>
        <row r="56">
          <cell r="F56">
            <v>2100.4674125000001</v>
          </cell>
        </row>
        <row r="61">
          <cell r="F61">
            <v>811.8242126683781</v>
          </cell>
        </row>
        <row r="63">
          <cell r="F63">
            <v>77.414032135464225</v>
          </cell>
        </row>
        <row r="77">
          <cell r="F77">
            <v>1785.3973006250001</v>
          </cell>
        </row>
      </sheetData>
      <sheetData sheetId="58">
        <row r="79">
          <cell r="G79">
            <v>141</v>
          </cell>
        </row>
      </sheetData>
      <sheetData sheetId="59"/>
      <sheetData sheetId="60"/>
      <sheetData sheetId="61"/>
      <sheetData sheetId="62">
        <row r="27">
          <cell r="F27">
            <v>3591.2500000000005</v>
          </cell>
        </row>
        <row r="29">
          <cell r="F29">
            <v>1249.19028</v>
          </cell>
        </row>
        <row r="40">
          <cell r="F40">
            <v>5953.9515254237303</v>
          </cell>
        </row>
        <row r="53">
          <cell r="F53">
            <v>0</v>
          </cell>
        </row>
        <row r="56">
          <cell r="F56">
            <v>4119.2784860000011</v>
          </cell>
        </row>
        <row r="61">
          <cell r="F61">
            <v>4422.458281956433</v>
          </cell>
        </row>
        <row r="63">
          <cell r="F63">
            <v>153.18484175914509</v>
          </cell>
        </row>
        <row r="77">
          <cell r="F77">
            <v>3501.3867131000006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аз"/>
      <sheetName val="Хайс"/>
      <sheetName val="Нефаз"/>
      <sheetName val="Волжанин"/>
      <sheetName val="Паз3205"/>
      <sheetName val="Лаборат_Газ27322F"/>
      <sheetName val="Газ32213"/>
      <sheetName val="НЗАС4951"/>
      <sheetName val="Уаз39629"/>
      <sheetName val="Луидор"/>
      <sheetName val="Санитар27322Н"/>
      <sheetName val="Аврора"/>
      <sheetName val="Паз4234"/>
      <sheetName val="Маз107"/>
      <sheetName val="Маз103"/>
      <sheetName val="Газ2705"/>
      <sheetName val="Газ3302"/>
      <sheetName val="Газ33023,52"/>
      <sheetName val="Уаз3303,3909"/>
      <sheetName val="Портер"/>
      <sheetName val="Газели_рефриж"/>
      <sheetName val="Isuzu,Hyundai"/>
      <sheetName val="Газ3307"/>
      <sheetName val="ГазСаз33072"/>
      <sheetName val="Газ53"/>
      <sheetName val="Зил43"/>
      <sheetName val="ЗилМмз554"/>
      <sheetName val="Зил4505"/>
      <sheetName val="ЗилМмз4502"/>
      <sheetName val="Камаз 5320"/>
      <sheetName val="Камаз 5511"/>
      <sheetName val="Камаз 65115"/>
      <sheetName val="МАЗ 53371"/>
      <sheetName val="МАЗ5551"/>
      <sheetName val="МАЗ5516W4"/>
      <sheetName val="МАЗ6312А9"/>
      <sheetName val="Камаз54112"/>
      <sheetName val="КАМАЗ54115"/>
      <sheetName val="МАЗ54323"/>
      <sheetName val="МАЗ64229"/>
      <sheetName val="МАЗ6422А8"/>
      <sheetName val="МАЗ6430В9"/>
      <sheetName val="УАЗ 3151"/>
      <sheetName val="ГАЗ 3102"/>
      <sheetName val="ГАЗ 31105"/>
      <sheetName val="ГАЗ 3110"/>
      <sheetName val="Крузак100"/>
      <sheetName val="Крузак200"/>
      <sheetName val="INFINITI"/>
      <sheetName val="Лексус"/>
      <sheetName val="Шкода"/>
      <sheetName val="Камри"/>
      <sheetName val="Трал 54т"/>
      <sheetName val="Трал 38 т"/>
      <sheetName val="Паджеро"/>
      <sheetName val="Логан"/>
      <sheetName val="Хайлендер"/>
      <sheetName val="Алмера"/>
      <sheetName val="Тарифы"/>
      <sheetName val="Свод"/>
      <sheetName val="БАЗА"/>
      <sheetName val="Прайс"/>
      <sheetName val="КМУ"/>
      <sheetName val="Прайс 2022"/>
      <sheetName val="Лист1"/>
      <sheetName val="ВПР"/>
      <sheetName val="Прайс 2021 (ЦП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>
        <row r="12">
          <cell r="D12" t="str">
            <v>ЛИАЗ-677</v>
          </cell>
          <cell r="E12">
            <v>10</v>
          </cell>
          <cell r="F12">
            <v>650</v>
          </cell>
          <cell r="G12">
            <v>386.09999999999997</v>
          </cell>
        </row>
        <row r="13">
          <cell r="D13" t="str">
            <v>Toyota Hiace</v>
          </cell>
          <cell r="E13">
            <v>10</v>
          </cell>
          <cell r="F13">
            <v>650</v>
          </cell>
          <cell r="G13">
            <v>98.8</v>
          </cell>
        </row>
        <row r="14">
          <cell r="D14" t="str">
            <v>НефАЗ 5299</v>
          </cell>
          <cell r="E14">
            <v>10</v>
          </cell>
          <cell r="F14">
            <v>650</v>
          </cell>
          <cell r="G14">
            <v>228.8</v>
          </cell>
        </row>
        <row r="15">
          <cell r="D15" t="str">
            <v>ZHONG TONG</v>
          </cell>
          <cell r="E15">
            <v>10</v>
          </cell>
          <cell r="F15">
            <v>650</v>
          </cell>
          <cell r="G15">
            <v>228.8</v>
          </cell>
        </row>
        <row r="16">
          <cell r="D16" t="str">
            <v>KING LONG</v>
          </cell>
          <cell r="E16">
            <v>12</v>
          </cell>
          <cell r="F16">
            <v>650</v>
          </cell>
          <cell r="G16">
            <v>284.7</v>
          </cell>
        </row>
        <row r="17">
          <cell r="D17" t="str">
            <v>МАЗ 215069</v>
          </cell>
          <cell r="E17">
            <v>12</v>
          </cell>
          <cell r="F17">
            <v>650</v>
          </cell>
          <cell r="G17">
            <v>284.7</v>
          </cell>
        </row>
        <row r="18">
          <cell r="D18" t="str">
            <v>ПАЗ-32053, ПАЗ-32054</v>
          </cell>
          <cell r="E18">
            <v>5</v>
          </cell>
          <cell r="F18">
            <v>200</v>
          </cell>
          <cell r="G18">
            <v>70.400000000000006</v>
          </cell>
        </row>
        <row r="19">
          <cell r="D19" t="str">
            <v>Газ 27322F (Лаборатория)</v>
          </cell>
          <cell r="E19">
            <v>10</v>
          </cell>
          <cell r="F19">
            <v>650</v>
          </cell>
          <cell r="G19">
            <v>122.2</v>
          </cell>
        </row>
        <row r="20">
          <cell r="D20" t="str">
            <v>MERCEDES-BENZ</v>
          </cell>
          <cell r="E20">
            <v>10</v>
          </cell>
          <cell r="F20">
            <v>650</v>
          </cell>
          <cell r="G20">
            <v>228.8</v>
          </cell>
        </row>
        <row r="21">
          <cell r="D21" t="str">
            <v>УАЗ-39629</v>
          </cell>
          <cell r="E21">
            <v>10</v>
          </cell>
          <cell r="F21">
            <v>650</v>
          </cell>
          <cell r="G21">
            <v>140.4</v>
          </cell>
        </row>
        <row r="22">
          <cell r="D22" t="str">
            <v>Луидор-2250А7</v>
          </cell>
          <cell r="E22">
            <v>10</v>
          </cell>
          <cell r="F22">
            <v>650</v>
          </cell>
          <cell r="G22">
            <v>121.55</v>
          </cell>
        </row>
        <row r="23">
          <cell r="D23" t="str">
            <v>Автомобиль санитарный 27322Н</v>
          </cell>
          <cell r="E23">
            <v>10</v>
          </cell>
          <cell r="F23">
            <v>650</v>
          </cell>
          <cell r="G23">
            <v>121.55</v>
          </cell>
        </row>
        <row r="24">
          <cell r="D24" t="str">
            <v>КАВЗ-АВРОРА</v>
          </cell>
          <cell r="E24">
            <v>10</v>
          </cell>
          <cell r="F24">
            <v>650</v>
          </cell>
          <cell r="G24">
            <v>195</v>
          </cell>
        </row>
        <row r="25">
          <cell r="D25" t="str">
            <v>ПАЗ-4234</v>
          </cell>
          <cell r="E25">
            <v>4</v>
          </cell>
          <cell r="F25">
            <v>200</v>
          </cell>
          <cell r="G25">
            <v>55.2</v>
          </cell>
        </row>
        <row r="26">
          <cell r="D26" t="str">
            <v>МАЗ 107</v>
          </cell>
          <cell r="E26">
            <v>10</v>
          </cell>
          <cell r="F26">
            <v>650</v>
          </cell>
          <cell r="G26">
            <v>292.5</v>
          </cell>
        </row>
        <row r="27">
          <cell r="D27" t="str">
            <v>МАЗ 103</v>
          </cell>
          <cell r="E27">
            <v>10</v>
          </cell>
          <cell r="F27">
            <v>650</v>
          </cell>
          <cell r="G27">
            <v>243.1</v>
          </cell>
        </row>
        <row r="28">
          <cell r="D28" t="str">
            <v>VOLGABUS</v>
          </cell>
          <cell r="E28">
            <v>10</v>
          </cell>
          <cell r="F28">
            <v>650</v>
          </cell>
          <cell r="G28">
            <v>471.25</v>
          </cell>
        </row>
        <row r="29">
          <cell r="D29" t="str">
            <v>ПАЗ VECTOR NEXT</v>
          </cell>
        </row>
        <row r="30">
          <cell r="E30">
            <v>0</v>
          </cell>
          <cell r="F30">
            <v>0</v>
          </cell>
          <cell r="G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</row>
        <row r="32">
          <cell r="D32" t="str">
            <v>КМУ</v>
          </cell>
          <cell r="E32">
            <v>12</v>
          </cell>
          <cell r="F32">
            <v>650</v>
          </cell>
          <cell r="G32">
            <v>237.9</v>
          </cell>
        </row>
        <row r="33">
          <cell r="D33" t="str">
            <v xml:space="preserve">Автовышка h= 18 м  </v>
          </cell>
          <cell r="E33">
            <v>12</v>
          </cell>
          <cell r="F33">
            <v>650</v>
          </cell>
          <cell r="G33">
            <v>222.3</v>
          </cell>
        </row>
        <row r="34">
          <cell r="D34" t="str">
            <v xml:space="preserve">Автовышка h= 24 м   </v>
          </cell>
          <cell r="E34">
            <v>12</v>
          </cell>
          <cell r="F34">
            <v>650</v>
          </cell>
          <cell r="G34">
            <v>250.25</v>
          </cell>
        </row>
        <row r="35">
          <cell r="D35" t="str">
            <v xml:space="preserve">Автовышка h= 28 м   </v>
          </cell>
          <cell r="E35">
            <v>12</v>
          </cell>
          <cell r="F35">
            <v>650</v>
          </cell>
          <cell r="G35">
            <v>250.25</v>
          </cell>
        </row>
        <row r="36">
          <cell r="D36" t="str">
            <v xml:space="preserve">Автовышка  h= 30 м </v>
          </cell>
          <cell r="E36">
            <v>12</v>
          </cell>
          <cell r="F36">
            <v>650</v>
          </cell>
          <cell r="G36">
            <v>228.8</v>
          </cell>
        </row>
        <row r="37">
          <cell r="D37" t="str">
            <v>КМУ 10т (Длиномер)</v>
          </cell>
          <cell r="E37">
            <v>12</v>
          </cell>
          <cell r="F37">
            <v>650</v>
          </cell>
          <cell r="G37">
            <v>228.8</v>
          </cell>
        </row>
        <row r="38">
          <cell r="D38" t="str">
            <v xml:space="preserve">Автокран  г/п до 16 тн.18м </v>
          </cell>
          <cell r="E38">
            <v>12</v>
          </cell>
          <cell r="F38">
            <v>650</v>
          </cell>
          <cell r="G38">
            <v>284.7</v>
          </cell>
        </row>
        <row r="39">
          <cell r="D39" t="str">
            <v>КС-55713 г/п 25тн, (21 м )</v>
          </cell>
          <cell r="E39">
            <v>12</v>
          </cell>
          <cell r="F39">
            <v>650</v>
          </cell>
          <cell r="G39">
            <v>284.7</v>
          </cell>
        </row>
        <row r="40">
          <cell r="D40" t="str">
            <v>Автокран  г/п 25тн, (28 м),  Автокран / вышка  г/п 25тн, (28 м)</v>
          </cell>
          <cell r="E40">
            <v>12</v>
          </cell>
          <cell r="F40">
            <v>650</v>
          </cell>
          <cell r="G40">
            <v>391.3</v>
          </cell>
        </row>
        <row r="41">
          <cell r="D41" t="str">
            <v>Автокран г/п 50т</v>
          </cell>
          <cell r="E41">
            <v>12</v>
          </cell>
          <cell r="F41">
            <v>650</v>
          </cell>
          <cell r="G41">
            <v>262.59999999999997</v>
          </cell>
        </row>
        <row r="42">
          <cell r="D42" t="str">
            <v>МАКАР 578276</v>
          </cell>
          <cell r="E42">
            <v>12</v>
          </cell>
          <cell r="F42">
            <v>650</v>
          </cell>
          <cell r="G42">
            <v>252.2</v>
          </cell>
        </row>
        <row r="43">
          <cell r="D43" t="str">
            <v>Трактор МТЗ 82.1</v>
          </cell>
          <cell r="E43">
            <v>12</v>
          </cell>
          <cell r="F43">
            <v>650</v>
          </cell>
          <cell r="G43">
            <v>252.2</v>
          </cell>
        </row>
        <row r="44">
          <cell r="D44" t="str">
            <v>Трактор МТЗ 82.1 со щеткой</v>
          </cell>
          <cell r="E44">
            <v>12</v>
          </cell>
          <cell r="F44">
            <v>650</v>
          </cell>
          <cell r="G44">
            <v>252.2</v>
          </cell>
        </row>
        <row r="45">
          <cell r="D45" t="str">
            <v>МТЗ 1523</v>
          </cell>
          <cell r="E45">
            <v>12</v>
          </cell>
          <cell r="F45">
            <v>650</v>
          </cell>
          <cell r="G45">
            <v>252.2</v>
          </cell>
        </row>
        <row r="46">
          <cell r="D46" t="str">
            <v>Беларус 952.3</v>
          </cell>
          <cell r="E46">
            <v>12</v>
          </cell>
          <cell r="F46">
            <v>650</v>
          </cell>
          <cell r="G46">
            <v>252.2</v>
          </cell>
        </row>
        <row r="47">
          <cell r="D47" t="str">
            <v>Беларус 1221.3</v>
          </cell>
          <cell r="E47">
            <v>12</v>
          </cell>
          <cell r="F47">
            <v>650</v>
          </cell>
          <cell r="G47">
            <v>252.2</v>
          </cell>
        </row>
        <row r="48">
          <cell r="D48" t="str">
            <v>Беларус 1523</v>
          </cell>
          <cell r="E48">
            <v>12</v>
          </cell>
          <cell r="F48">
            <v>650</v>
          </cell>
          <cell r="G48">
            <v>252.2</v>
          </cell>
        </row>
        <row r="49">
          <cell r="D49" t="str">
            <v xml:space="preserve">Фронтальный погрузчик LG-833 </v>
          </cell>
          <cell r="E49">
            <v>12</v>
          </cell>
          <cell r="F49">
            <v>650</v>
          </cell>
          <cell r="G49">
            <v>252.2</v>
          </cell>
        </row>
        <row r="50">
          <cell r="D50" t="str">
            <v>ЧЕТРА</v>
          </cell>
          <cell r="E50">
            <v>12</v>
          </cell>
          <cell r="F50">
            <v>650</v>
          </cell>
          <cell r="G50">
            <v>252.2</v>
          </cell>
        </row>
        <row r="51">
          <cell r="D51" t="str">
            <v>Погрузчик - экскаватор  New Holland</v>
          </cell>
          <cell r="E51">
            <v>12</v>
          </cell>
          <cell r="F51">
            <v>650</v>
          </cell>
          <cell r="G51">
            <v>252.2</v>
          </cell>
        </row>
        <row r="52">
          <cell r="D52" t="str">
            <v>Погрузчик - экскаватор  JCB</v>
          </cell>
          <cell r="E52">
            <v>12</v>
          </cell>
          <cell r="F52">
            <v>650</v>
          </cell>
          <cell r="G52">
            <v>252.2</v>
          </cell>
        </row>
        <row r="53">
          <cell r="D53" t="str">
            <v>Грейдер ГС 14.02</v>
          </cell>
          <cell r="E53">
            <v>12</v>
          </cell>
          <cell r="F53">
            <v>650</v>
          </cell>
          <cell r="G53">
            <v>252.2</v>
          </cell>
        </row>
        <row r="54">
          <cell r="D54" t="str">
            <v>BOBCAT S570</v>
          </cell>
          <cell r="E54">
            <v>12</v>
          </cell>
          <cell r="F54">
            <v>650</v>
          </cell>
          <cell r="G54">
            <v>252.2</v>
          </cell>
        </row>
        <row r="55">
          <cell r="D55" t="str">
            <v>ДМК-65</v>
          </cell>
          <cell r="E55">
            <v>12</v>
          </cell>
          <cell r="F55">
            <v>650</v>
          </cell>
          <cell r="G55">
            <v>252.2</v>
          </cell>
        </row>
        <row r="58">
          <cell r="D58" t="str">
            <v>ГАЗ-3302, ГАЗ-33021, ГАЗ-330210</v>
          </cell>
          <cell r="E58">
            <v>12</v>
          </cell>
          <cell r="F58">
            <v>650</v>
          </cell>
          <cell r="G58">
            <v>126.1</v>
          </cell>
        </row>
        <row r="59">
          <cell r="D59" t="str">
            <v>ГАЗ-33023, ГАЗ-330252</v>
          </cell>
          <cell r="E59">
            <v>12</v>
          </cell>
          <cell r="F59">
            <v>650</v>
          </cell>
          <cell r="G59">
            <v>122.2</v>
          </cell>
        </row>
        <row r="60">
          <cell r="D60" t="str">
            <v>УАЗ -390995</v>
          </cell>
          <cell r="E60">
            <v>12</v>
          </cell>
          <cell r="F60">
            <v>650</v>
          </cell>
          <cell r="G60">
            <v>0</v>
          </cell>
        </row>
        <row r="62">
          <cell r="D62" t="str">
            <v>ГАЗ-172412</v>
          </cell>
          <cell r="E62">
            <v>9</v>
          </cell>
          <cell r="F62">
            <v>650</v>
          </cell>
          <cell r="G62">
            <v>121.55</v>
          </cell>
        </row>
        <row r="64">
          <cell r="D64" t="str">
            <v>Isuzu 47051А, Isuzu 3784ЕО</v>
          </cell>
          <cell r="E64">
            <v>9</v>
          </cell>
          <cell r="F64">
            <v>650</v>
          </cell>
          <cell r="G64">
            <v>117</v>
          </cell>
        </row>
        <row r="66">
          <cell r="D66" t="str">
            <v>ГАЗ С41R33</v>
          </cell>
          <cell r="E66">
            <v>12</v>
          </cell>
          <cell r="F66">
            <v>650</v>
          </cell>
          <cell r="G66">
            <v>126.1</v>
          </cell>
        </row>
        <row r="67">
          <cell r="D67" t="str">
            <v>ГАЗ САЗ 2705</v>
          </cell>
          <cell r="E67">
            <v>12</v>
          </cell>
          <cell r="F67">
            <v>650</v>
          </cell>
          <cell r="G67">
            <v>126.1</v>
          </cell>
        </row>
        <row r="68">
          <cell r="D68" t="str">
            <v>ГАЗ А22 R32</v>
          </cell>
          <cell r="E68">
            <v>12</v>
          </cell>
          <cell r="F68">
            <v>650</v>
          </cell>
          <cell r="G68">
            <v>126.1</v>
          </cell>
        </row>
        <row r="69">
          <cell r="D69" t="str">
            <v>КАМАЗ 4308-G5</v>
          </cell>
          <cell r="E69">
            <v>12</v>
          </cell>
          <cell r="F69">
            <v>650</v>
          </cell>
          <cell r="G69">
            <v>126.1</v>
          </cell>
        </row>
        <row r="70">
          <cell r="D70" t="str">
            <v>GAZelle NEXT</v>
          </cell>
        </row>
        <row r="72">
          <cell r="D72" t="str">
            <v>КАМАЗ-65115</v>
          </cell>
          <cell r="E72">
            <v>12</v>
          </cell>
          <cell r="F72">
            <v>650</v>
          </cell>
          <cell r="G72">
            <v>258.05</v>
          </cell>
        </row>
        <row r="73">
          <cell r="D73" t="str">
            <v>Маз-5516W4</v>
          </cell>
          <cell r="E73">
            <v>12</v>
          </cell>
          <cell r="F73">
            <v>650</v>
          </cell>
          <cell r="G73">
            <v>227.5</v>
          </cell>
        </row>
        <row r="74">
          <cell r="D74" t="str">
            <v>Маз-6312В5</v>
          </cell>
          <cell r="E74">
            <v>12</v>
          </cell>
          <cell r="F74">
            <v>650</v>
          </cell>
          <cell r="G74">
            <v>260</v>
          </cell>
        </row>
        <row r="75">
          <cell r="D75" t="str">
            <v>Маз-6312А9-320</v>
          </cell>
          <cell r="E75">
            <v>12</v>
          </cell>
          <cell r="F75">
            <v>650</v>
          </cell>
          <cell r="G75">
            <v>260</v>
          </cell>
        </row>
        <row r="76">
          <cell r="D76" t="str">
            <v>КамАЗ 45143-42</v>
          </cell>
          <cell r="E76">
            <v>12</v>
          </cell>
          <cell r="F76">
            <v>650</v>
          </cell>
          <cell r="G76">
            <v>258.05</v>
          </cell>
        </row>
        <row r="77">
          <cell r="D77" t="str">
            <v>МАЗ 5340Н3-470</v>
          </cell>
          <cell r="E77">
            <v>12</v>
          </cell>
          <cell r="F77">
            <v>650</v>
          </cell>
          <cell r="G77">
            <v>260</v>
          </cell>
        </row>
        <row r="79">
          <cell r="D79" t="str">
            <v>VOLVO FH-TRUCK</v>
          </cell>
          <cell r="E79">
            <v>12</v>
          </cell>
          <cell r="F79">
            <v>650</v>
          </cell>
          <cell r="G79">
            <v>0</v>
          </cell>
        </row>
        <row r="80">
          <cell r="D80" t="str">
            <v xml:space="preserve">МАЗ-6422А8-330        </v>
          </cell>
          <cell r="E80">
            <v>12</v>
          </cell>
          <cell r="F80">
            <v>650</v>
          </cell>
          <cell r="G80">
            <v>0</v>
          </cell>
        </row>
        <row r="81">
          <cell r="D81" t="str">
            <v>Маз-6430В9</v>
          </cell>
          <cell r="E81">
            <v>12</v>
          </cell>
          <cell r="F81">
            <v>650</v>
          </cell>
          <cell r="G81">
            <v>216.45</v>
          </cell>
        </row>
        <row r="82">
          <cell r="D82" t="str">
            <v>КамАЗ 65206-Т5</v>
          </cell>
          <cell r="E82">
            <v>12</v>
          </cell>
          <cell r="F82">
            <v>650</v>
          </cell>
          <cell r="G82">
            <v>216.45</v>
          </cell>
        </row>
        <row r="84">
          <cell r="D84" t="str">
            <v>ТВЕРЬСТРОЙМАШ 99394 54 т</v>
          </cell>
          <cell r="E84">
            <v>12</v>
          </cell>
          <cell r="F84">
            <v>650</v>
          </cell>
          <cell r="G84">
            <v>216.45</v>
          </cell>
        </row>
        <row r="85">
          <cell r="D85" t="str">
            <v>ЧМЗП 99865 38 т</v>
          </cell>
          <cell r="E85">
            <v>12</v>
          </cell>
          <cell r="F85">
            <v>650</v>
          </cell>
          <cell r="G85">
            <v>216.45</v>
          </cell>
        </row>
        <row r="86">
          <cell r="D86" t="str">
            <v>ТВЕРЬСТРОЙМАШ 99395Е 63 т (роспуск)</v>
          </cell>
          <cell r="E86">
            <v>12</v>
          </cell>
          <cell r="F86">
            <v>650</v>
          </cell>
          <cell r="G86">
            <v>0</v>
          </cell>
        </row>
        <row r="89">
          <cell r="D89" t="str">
            <v>Skoda Rapid</v>
          </cell>
          <cell r="E89">
            <v>8</v>
          </cell>
          <cell r="F89">
            <v>650</v>
          </cell>
          <cell r="G89">
            <v>63.05</v>
          </cell>
        </row>
        <row r="91">
          <cell r="D91" t="str">
            <v>Toyota Camry</v>
          </cell>
          <cell r="E91">
            <v>8</v>
          </cell>
          <cell r="F91">
            <v>650</v>
          </cell>
          <cell r="G91">
            <v>79.3</v>
          </cell>
        </row>
        <row r="93">
          <cell r="D93" t="str">
            <v>Renault Logan</v>
          </cell>
          <cell r="E93">
            <v>8</v>
          </cell>
          <cell r="F93">
            <v>650</v>
          </cell>
          <cell r="G93">
            <v>61.75</v>
          </cell>
        </row>
        <row r="95">
          <cell r="D95" t="str">
            <v>КIA K5, Optima</v>
          </cell>
          <cell r="E95">
            <v>8</v>
          </cell>
          <cell r="F95">
            <v>650</v>
          </cell>
          <cell r="G95">
            <v>0</v>
          </cell>
        </row>
        <row r="97">
          <cell r="D97" t="str">
            <v>Toyota Hilux</v>
          </cell>
          <cell r="E97">
            <v>8</v>
          </cell>
          <cell r="F97">
            <v>650</v>
          </cell>
          <cell r="G97">
            <v>98.8</v>
          </cell>
        </row>
        <row r="99">
          <cell r="D99" t="str">
            <v>Nissan Almera</v>
          </cell>
          <cell r="E99">
            <v>8</v>
          </cell>
          <cell r="F99">
            <v>650</v>
          </cell>
          <cell r="G99">
            <v>63.05</v>
          </cell>
        </row>
      </sheetData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0"/>
  <sheetViews>
    <sheetView zoomScaleNormal="100" workbookViewId="0">
      <pane xSplit="4" ySplit="13" topLeftCell="E14" activePane="bottomRight" state="frozen"/>
      <selection pane="topRight" activeCell="E1" sqref="E1"/>
      <selection pane="bottomLeft" activeCell="A14" sqref="A14"/>
      <selection pane="bottomRight" activeCell="C27" sqref="C27"/>
    </sheetView>
  </sheetViews>
  <sheetFormatPr defaultRowHeight="12.75" x14ac:dyDescent="0.2"/>
  <cols>
    <col min="1" max="1" width="3.7109375" style="1" customWidth="1"/>
    <col min="2" max="2" width="7" style="1" customWidth="1"/>
    <col min="3" max="3" width="28.85546875" style="1" customWidth="1"/>
    <col min="4" max="4" width="16" style="1" customWidth="1"/>
    <col min="5" max="5" width="12.7109375" style="1" customWidth="1"/>
    <col min="6" max="6" width="13.85546875" style="1" customWidth="1"/>
    <col min="7" max="7" width="12.85546875" style="1" customWidth="1"/>
    <col min="8" max="8" width="14.42578125" style="1" customWidth="1"/>
    <col min="9" max="9" width="10.5703125" style="1" customWidth="1"/>
    <col min="10" max="10" width="11.5703125" style="1" customWidth="1"/>
    <col min="11" max="11" width="13.5703125" style="1" customWidth="1"/>
    <col min="12" max="12" width="12" style="1" customWidth="1"/>
    <col min="13" max="14" width="10.5703125" style="1" customWidth="1"/>
    <col min="15" max="15" width="11" style="1" customWidth="1"/>
    <col min="16" max="17" width="15.5703125" style="1" customWidth="1"/>
    <col min="18" max="18" width="14.5703125" style="1" customWidth="1"/>
    <col min="19" max="19" width="19.5703125" style="1" customWidth="1"/>
    <col min="20" max="20" width="14.5703125" style="1" customWidth="1"/>
    <col min="21" max="21" width="12.5703125" style="1" customWidth="1"/>
    <col min="22" max="16384" width="9.140625" style="1"/>
  </cols>
  <sheetData>
    <row r="1" spans="1:27" ht="15.75" customHeight="1" x14ac:dyDescent="0.2">
      <c r="D1" s="2" t="s">
        <v>54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spans="1:27" ht="15.75" customHeight="1" x14ac:dyDescent="0.2">
      <c r="D2" s="2" t="s">
        <v>55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3" spans="1:27" ht="15.75" customHeight="1" x14ac:dyDescent="0.2">
      <c r="D3" s="2" t="s">
        <v>56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</row>
    <row r="4" spans="1:27" ht="15.75" customHeight="1" x14ac:dyDescent="0.2">
      <c r="D4" s="2" t="s">
        <v>57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3"/>
    </row>
    <row r="5" spans="1:27" ht="15.75" customHeight="1" x14ac:dyDescent="0.2">
      <c r="D5" s="2" t="s">
        <v>153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3"/>
    </row>
    <row r="6" spans="1:27" ht="15.75" customHeight="1" x14ac:dyDescent="0.2">
      <c r="D6" s="2" t="s">
        <v>154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</row>
    <row r="7" spans="1:27" ht="15.75" customHeight="1" x14ac:dyDescent="0.2">
      <c r="S7" s="4"/>
    </row>
    <row r="8" spans="1:27" ht="15.75" customHeight="1" x14ac:dyDescent="0.2">
      <c r="S8" s="4"/>
    </row>
    <row r="9" spans="1:27" ht="27" customHeight="1" x14ac:dyDescent="0.2">
      <c r="B9" s="277" t="s">
        <v>155</v>
      </c>
      <c r="C9" s="277"/>
      <c r="D9" s="277"/>
      <c r="E9" s="5"/>
      <c r="F9" s="5"/>
      <c r="G9" s="5"/>
      <c r="H9" s="5"/>
      <c r="I9" s="5"/>
      <c r="J9" s="68"/>
      <c r="K9" s="67"/>
      <c r="L9" s="67"/>
      <c r="M9" s="67"/>
      <c r="N9" s="67"/>
      <c r="O9" s="67"/>
      <c r="P9" s="5"/>
      <c r="Q9" s="72"/>
      <c r="R9" s="5"/>
      <c r="S9" s="6"/>
    </row>
    <row r="10" spans="1:27" ht="16.5" thickBot="1" x14ac:dyDescent="0.3">
      <c r="D10" s="7"/>
      <c r="E10" s="7"/>
      <c r="F10" s="7"/>
      <c r="G10" s="7"/>
      <c r="H10" s="7"/>
      <c r="I10" s="279" t="s">
        <v>145</v>
      </c>
      <c r="J10" s="279"/>
      <c r="K10" s="279"/>
      <c r="L10" s="279"/>
      <c r="M10" s="279"/>
      <c r="N10" s="279"/>
      <c r="O10" s="279"/>
      <c r="P10" s="7"/>
      <c r="Q10" s="73"/>
      <c r="R10" s="7"/>
      <c r="S10" s="7"/>
    </row>
    <row r="11" spans="1:27" ht="54" customHeight="1" thickBot="1" x14ac:dyDescent="0.25">
      <c r="B11" s="8" t="s">
        <v>58</v>
      </c>
      <c r="C11" s="9" t="s">
        <v>59</v>
      </c>
      <c r="D11" s="9" t="s">
        <v>140</v>
      </c>
      <c r="E11" s="10" t="s">
        <v>141</v>
      </c>
      <c r="F11" s="10" t="s">
        <v>60</v>
      </c>
      <c r="G11" s="10" t="s">
        <v>61</v>
      </c>
      <c r="H11" s="10" t="s">
        <v>142</v>
      </c>
      <c r="I11" s="10" t="s">
        <v>147</v>
      </c>
      <c r="J11" s="10" t="s">
        <v>156</v>
      </c>
      <c r="K11" s="10" t="s">
        <v>149</v>
      </c>
      <c r="L11" s="10" t="s">
        <v>152</v>
      </c>
      <c r="M11" s="10" t="s">
        <v>151</v>
      </c>
      <c r="N11" s="10" t="s">
        <v>150</v>
      </c>
      <c r="O11" s="10" t="s">
        <v>148</v>
      </c>
      <c r="P11" s="70" t="s">
        <v>143</v>
      </c>
      <c r="Q11" s="10" t="s">
        <v>412</v>
      </c>
      <c r="R11" s="11" t="s">
        <v>62</v>
      </c>
      <c r="S11" s="12" t="s">
        <v>144</v>
      </c>
      <c r="T11" s="13" t="s">
        <v>63</v>
      </c>
      <c r="U11" s="13" t="s">
        <v>64</v>
      </c>
    </row>
    <row r="12" spans="1:27" x14ac:dyDescent="0.2">
      <c r="B12" s="14"/>
      <c r="C12" s="15" t="s">
        <v>0</v>
      </c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</row>
    <row r="13" spans="1:27" ht="14.25" customHeight="1" x14ac:dyDescent="0.2">
      <c r="B13" s="18"/>
      <c r="C13" s="19" t="s">
        <v>42</v>
      </c>
      <c r="D13" s="20"/>
      <c r="E13" s="21" t="e">
        <f>#REF!</f>
        <v>#REF!</v>
      </c>
      <c r="F13" s="21" t="e">
        <f>#REF!</f>
        <v>#REF!</v>
      </c>
      <c r="G13" s="22">
        <f>IFERROR(E13/F13-100%, )</f>
        <v>0</v>
      </c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27" ht="15.75" customHeight="1" x14ac:dyDescent="0.2">
      <c r="A14" s="1">
        <v>1</v>
      </c>
      <c r="B14" s="24" t="s">
        <v>65</v>
      </c>
      <c r="C14" s="25" t="s">
        <v>66</v>
      </c>
      <c r="D14" s="26">
        <v>5999</v>
      </c>
      <c r="E14" s="27">
        <v>23119.28833996267</v>
      </c>
      <c r="F14" s="27">
        <v>1323.6011822074211</v>
      </c>
      <c r="G14" s="28">
        <f>IFERROR(E14/F14-100%, )</f>
        <v>16.466959572675613</v>
      </c>
      <c r="H14" s="62">
        <v>5999</v>
      </c>
      <c r="I14" s="27"/>
      <c r="J14" s="27"/>
      <c r="K14" s="27"/>
      <c r="L14" s="27"/>
      <c r="M14" s="27"/>
      <c r="N14" s="27"/>
      <c r="O14" s="27"/>
      <c r="P14" s="27">
        <f>D14</f>
        <v>5999</v>
      </c>
      <c r="Q14" s="77">
        <f>P14/D14-1</f>
        <v>0</v>
      </c>
      <c r="R14" s="28">
        <f t="shared" ref="R14:R23" si="0">IFERROR(P14/U14-1,FALSE)</f>
        <v>-0.78376641213365572</v>
      </c>
      <c r="S14" s="27">
        <f t="shared" ref="S14:S23" si="1">D14*1.3</f>
        <v>7798.7</v>
      </c>
      <c r="T14" s="27">
        <f t="shared" ref="T14:T22" si="2">E14*1.5</f>
        <v>34678.932509944003</v>
      </c>
      <c r="U14" s="27">
        <f t="shared" ref="U14:U22" si="3">E14*1.2</f>
        <v>27743.146007955202</v>
      </c>
      <c r="V14" s="29">
        <f t="shared" ref="V14:V22" si="4">P14/D14*100</f>
        <v>100</v>
      </c>
      <c r="W14" s="30">
        <f>ROUNDUP(V14,0)</f>
        <v>100</v>
      </c>
      <c r="X14" s="30">
        <f>W14-100</f>
        <v>0</v>
      </c>
      <c r="Y14" s="1">
        <f>X14/100</f>
        <v>0</v>
      </c>
      <c r="AA14" s="31">
        <f t="shared" ref="AA14:AA22" si="5">P14*4</f>
        <v>23996</v>
      </c>
    </row>
    <row r="15" spans="1:27" ht="15.75" customHeight="1" x14ac:dyDescent="0.2">
      <c r="A15" s="1">
        <v>2</v>
      </c>
      <c r="B15" s="32"/>
      <c r="C15" s="33" t="s">
        <v>67</v>
      </c>
      <c r="D15" s="34">
        <v>1900</v>
      </c>
      <c r="E15" s="27">
        <v>1075.9688493773415</v>
      </c>
      <c r="F15" s="27">
        <v>856.91858040058503</v>
      </c>
      <c r="G15" s="28">
        <f t="shared" ref="G15:G22" si="6">IFERROR(E15/F15-100%, )</f>
        <v>0.25562553314500036</v>
      </c>
      <c r="H15" s="62">
        <v>1900</v>
      </c>
      <c r="I15" s="27">
        <f>H15*1.2</f>
        <v>2280</v>
      </c>
      <c r="J15" s="27"/>
      <c r="K15" s="27"/>
      <c r="L15" s="27"/>
      <c r="M15" s="27"/>
      <c r="N15" s="27"/>
      <c r="O15" s="27"/>
      <c r="P15" s="27">
        <f>S15-70-100</f>
        <v>2300</v>
      </c>
      <c r="Q15" s="77">
        <f t="shared" ref="Q15:Q31" si="7">P15/D15-1</f>
        <v>0.21052631578947367</v>
      </c>
      <c r="R15" s="28">
        <f t="shared" si="0"/>
        <v>0.78134029416914208</v>
      </c>
      <c r="S15" s="27">
        <f t="shared" si="1"/>
        <v>2470</v>
      </c>
      <c r="T15" s="27">
        <f t="shared" si="2"/>
        <v>1613.9532740660122</v>
      </c>
      <c r="U15" s="27">
        <f t="shared" si="3"/>
        <v>1291.1626192528097</v>
      </c>
      <c r="V15" s="29">
        <f t="shared" si="4"/>
        <v>121.05263157894737</v>
      </c>
      <c r="W15" s="30">
        <f t="shared" ref="W15:W22" si="8">ROUNDUP(V15,0)</f>
        <v>122</v>
      </c>
      <c r="X15" s="30">
        <f t="shared" ref="X15:X22" si="9">W15-100</f>
        <v>22</v>
      </c>
      <c r="Y15" s="1">
        <f t="shared" ref="Y15:Y22" si="10">X15/100</f>
        <v>0.22</v>
      </c>
      <c r="AA15" s="31">
        <f t="shared" si="5"/>
        <v>9200</v>
      </c>
    </row>
    <row r="16" spans="1:27" ht="15.75" customHeight="1" x14ac:dyDescent="0.2">
      <c r="A16" s="1">
        <v>3</v>
      </c>
      <c r="B16" s="32"/>
      <c r="C16" s="33" t="s">
        <v>68</v>
      </c>
      <c r="D16" s="26">
        <v>1700</v>
      </c>
      <c r="E16" s="27">
        <v>1509.9289846682977</v>
      </c>
      <c r="F16" s="27">
        <v>1194.0520447388465</v>
      </c>
      <c r="G16" s="28">
        <f t="shared" si="6"/>
        <v>0.26454202002437621</v>
      </c>
      <c r="H16" s="62">
        <v>1700</v>
      </c>
      <c r="I16" s="27">
        <f t="shared" ref="I16:I22" si="11">H16*1.2</f>
        <v>2040</v>
      </c>
      <c r="J16" s="27"/>
      <c r="K16" s="27"/>
      <c r="L16" s="27"/>
      <c r="M16" s="27"/>
      <c r="N16" s="27"/>
      <c r="O16" s="27"/>
      <c r="P16" s="27">
        <f>S16-10-50-100</f>
        <v>2050</v>
      </c>
      <c r="Q16" s="77">
        <f t="shared" si="7"/>
        <v>0.20588235294117641</v>
      </c>
      <c r="R16" s="28">
        <f t="shared" si="0"/>
        <v>0.13139978812223485</v>
      </c>
      <c r="S16" s="27">
        <f t="shared" si="1"/>
        <v>2210</v>
      </c>
      <c r="T16" s="27">
        <f t="shared" si="2"/>
        <v>2264.8934770024466</v>
      </c>
      <c r="U16" s="27">
        <f t="shared" si="3"/>
        <v>1811.9147816019572</v>
      </c>
      <c r="V16" s="29">
        <f t="shared" si="4"/>
        <v>120.58823529411764</v>
      </c>
      <c r="W16" s="30">
        <f t="shared" si="8"/>
        <v>121</v>
      </c>
      <c r="X16" s="30">
        <f t="shared" si="9"/>
        <v>21</v>
      </c>
      <c r="Y16" s="1">
        <f t="shared" si="10"/>
        <v>0.21</v>
      </c>
      <c r="AA16" s="31">
        <f t="shared" si="5"/>
        <v>8200</v>
      </c>
    </row>
    <row r="17" spans="1:27" ht="15.75" customHeight="1" x14ac:dyDescent="0.2">
      <c r="A17" s="1">
        <v>4</v>
      </c>
      <c r="B17" s="32"/>
      <c r="C17" s="33" t="s">
        <v>211</v>
      </c>
      <c r="D17" s="34">
        <v>1900</v>
      </c>
      <c r="E17" s="27">
        <v>979.14843048997864</v>
      </c>
      <c r="F17" s="27">
        <v>833.5274804394021</v>
      </c>
      <c r="G17" s="28">
        <f t="shared" si="6"/>
        <v>0.17470443802741942</v>
      </c>
      <c r="H17" s="63">
        <v>1900</v>
      </c>
      <c r="I17" s="27">
        <f t="shared" si="11"/>
        <v>2280</v>
      </c>
      <c r="J17" s="27"/>
      <c r="K17" s="27"/>
      <c r="L17" s="27"/>
      <c r="M17" s="27"/>
      <c r="N17" s="27"/>
      <c r="O17" s="27"/>
      <c r="P17" s="27">
        <f>S17-20-50-100</f>
        <v>2300</v>
      </c>
      <c r="Q17" s="77">
        <f t="shared" si="7"/>
        <v>0.21052631578947367</v>
      </c>
      <c r="R17" s="28">
        <f t="shared" si="0"/>
        <v>0.95748326503218917</v>
      </c>
      <c r="S17" s="27">
        <f t="shared" si="1"/>
        <v>2470</v>
      </c>
      <c r="T17" s="27">
        <f t="shared" si="2"/>
        <v>1468.722645734968</v>
      </c>
      <c r="U17" s="27">
        <f t="shared" si="3"/>
        <v>1174.9781165879742</v>
      </c>
      <c r="V17" s="29">
        <f t="shared" si="4"/>
        <v>121.05263157894737</v>
      </c>
      <c r="W17" s="30">
        <f t="shared" si="8"/>
        <v>122</v>
      </c>
      <c r="X17" s="30">
        <f t="shared" si="9"/>
        <v>22</v>
      </c>
      <c r="Y17" s="1">
        <f t="shared" si="10"/>
        <v>0.22</v>
      </c>
      <c r="AA17" s="31">
        <f t="shared" si="5"/>
        <v>9200</v>
      </c>
    </row>
    <row r="18" spans="1:27" ht="15.75" customHeight="1" x14ac:dyDescent="0.2">
      <c r="A18" s="1">
        <v>5</v>
      </c>
      <c r="B18" s="32"/>
      <c r="C18" s="33" t="s">
        <v>207</v>
      </c>
      <c r="D18" s="34">
        <v>2200</v>
      </c>
      <c r="E18" s="54">
        <v>1117.7502414880294</v>
      </c>
      <c r="F18" s="27">
        <v>892.98597768002037</v>
      </c>
      <c r="G18" s="28">
        <f t="shared" si="6"/>
        <v>0.25169965646263237</v>
      </c>
      <c r="H18" s="63">
        <v>2200</v>
      </c>
      <c r="I18" s="27">
        <f t="shared" si="11"/>
        <v>2640</v>
      </c>
      <c r="J18" s="27"/>
      <c r="K18" s="27"/>
      <c r="L18" s="27"/>
      <c r="M18" s="27"/>
      <c r="N18" s="27"/>
      <c r="O18" s="27"/>
      <c r="P18" s="27">
        <f>S18-10-50-100-100</f>
        <v>2600</v>
      </c>
      <c r="Q18" s="77">
        <f t="shared" si="7"/>
        <v>0.18181818181818188</v>
      </c>
      <c r="R18" s="28">
        <f t="shared" si="0"/>
        <v>0.93841753394053806</v>
      </c>
      <c r="S18" s="27">
        <f t="shared" si="1"/>
        <v>2860</v>
      </c>
      <c r="T18" s="27">
        <f t="shared" si="2"/>
        <v>1676.6253622320442</v>
      </c>
      <c r="U18" s="27">
        <f t="shared" si="3"/>
        <v>1341.3002897856352</v>
      </c>
      <c r="V18" s="29">
        <f t="shared" si="4"/>
        <v>118.18181818181819</v>
      </c>
      <c r="W18" s="30">
        <f t="shared" si="8"/>
        <v>119</v>
      </c>
      <c r="X18" s="30">
        <f t="shared" si="9"/>
        <v>19</v>
      </c>
      <c r="Y18" s="1">
        <f t="shared" si="10"/>
        <v>0.19</v>
      </c>
      <c r="AA18" s="31">
        <f t="shared" si="5"/>
        <v>10400</v>
      </c>
    </row>
    <row r="19" spans="1:27" ht="15.75" customHeight="1" x14ac:dyDescent="0.2">
      <c r="A19" s="1">
        <v>6</v>
      </c>
      <c r="B19" s="32"/>
      <c r="C19" s="33" t="s">
        <v>4</v>
      </c>
      <c r="D19" s="34">
        <v>2600</v>
      </c>
      <c r="E19" s="54">
        <v>1974.6487981100408</v>
      </c>
      <c r="F19" s="27">
        <v>1916.3907560852319</v>
      </c>
      <c r="G19" s="28">
        <f t="shared" si="6"/>
        <v>3.0399876350800881E-2</v>
      </c>
      <c r="H19" s="63">
        <v>2600</v>
      </c>
      <c r="I19" s="27">
        <f t="shared" si="11"/>
        <v>3120</v>
      </c>
      <c r="J19" s="27"/>
      <c r="K19" s="27"/>
      <c r="L19" s="27"/>
      <c r="M19" s="27"/>
      <c r="N19" s="27"/>
      <c r="O19" s="27"/>
      <c r="P19" s="27">
        <f>S19-30-100-50-100</f>
        <v>3100</v>
      </c>
      <c r="Q19" s="77">
        <f t="shared" si="7"/>
        <v>0.19230769230769229</v>
      </c>
      <c r="R19" s="28">
        <f t="shared" si="0"/>
        <v>0.30824951546111468</v>
      </c>
      <c r="S19" s="27">
        <f t="shared" si="1"/>
        <v>3380</v>
      </c>
      <c r="T19" s="27">
        <f t="shared" si="2"/>
        <v>2961.9731971650613</v>
      </c>
      <c r="U19" s="27">
        <f t="shared" si="3"/>
        <v>2369.5785577320489</v>
      </c>
      <c r="V19" s="29">
        <f t="shared" si="4"/>
        <v>119.23076923076923</v>
      </c>
      <c r="W19" s="30">
        <f t="shared" si="8"/>
        <v>120</v>
      </c>
      <c r="X19" s="30">
        <f t="shared" si="9"/>
        <v>20</v>
      </c>
      <c r="Y19" s="1">
        <f t="shared" si="10"/>
        <v>0.2</v>
      </c>
      <c r="AA19" s="31">
        <f t="shared" si="5"/>
        <v>12400</v>
      </c>
    </row>
    <row r="20" spans="1:27" ht="15.75" customHeight="1" x14ac:dyDescent="0.2">
      <c r="A20" s="1">
        <v>7</v>
      </c>
      <c r="B20" s="32"/>
      <c r="C20" s="33" t="s">
        <v>71</v>
      </c>
      <c r="D20" s="34">
        <v>1600</v>
      </c>
      <c r="E20" s="54">
        <v>968.93377632777151</v>
      </c>
      <c r="F20" s="27">
        <v>741.20887863689188</v>
      </c>
      <c r="G20" s="28">
        <f t="shared" si="6"/>
        <v>0.30723444396628574</v>
      </c>
      <c r="H20" s="63">
        <v>1600</v>
      </c>
      <c r="I20" s="27">
        <f t="shared" si="11"/>
        <v>1920</v>
      </c>
      <c r="J20" s="27"/>
      <c r="K20" s="27"/>
      <c r="L20" s="27"/>
      <c r="M20" s="27"/>
      <c r="N20" s="27"/>
      <c r="O20" s="27"/>
      <c r="P20" s="27">
        <f>S20-30-50-100</f>
        <v>1900</v>
      </c>
      <c r="Q20" s="77">
        <f t="shared" si="7"/>
        <v>0.1875</v>
      </c>
      <c r="R20" s="28">
        <f t="shared" si="0"/>
        <v>0.63409860613396796</v>
      </c>
      <c r="S20" s="27">
        <f t="shared" si="1"/>
        <v>2080</v>
      </c>
      <c r="T20" s="27">
        <f t="shared" si="2"/>
        <v>1453.4006644916572</v>
      </c>
      <c r="U20" s="27">
        <f t="shared" si="3"/>
        <v>1162.7205315933259</v>
      </c>
      <c r="V20" s="29">
        <f t="shared" si="4"/>
        <v>118.75</v>
      </c>
      <c r="W20" s="30">
        <f t="shared" si="8"/>
        <v>119</v>
      </c>
      <c r="X20" s="30">
        <f t="shared" si="9"/>
        <v>19</v>
      </c>
      <c r="Y20" s="1">
        <f t="shared" si="10"/>
        <v>0.19</v>
      </c>
      <c r="AA20" s="31">
        <f t="shared" si="5"/>
        <v>7600</v>
      </c>
    </row>
    <row r="21" spans="1:27" ht="15.75" customHeight="1" x14ac:dyDescent="0.2">
      <c r="A21" s="1">
        <v>8</v>
      </c>
      <c r="B21" s="32"/>
      <c r="C21" s="33" t="s">
        <v>3</v>
      </c>
      <c r="D21" s="34">
        <v>1599.7064276952065</v>
      </c>
      <c r="E21" s="54">
        <v>1026.3685016475793</v>
      </c>
      <c r="F21" s="27">
        <v>1063.5523373137046</v>
      </c>
      <c r="G21" s="28">
        <f t="shared" si="6"/>
        <v>-3.4961923698126007E-2</v>
      </c>
      <c r="H21" s="63">
        <v>1599.7064276952065</v>
      </c>
      <c r="I21" s="27">
        <f t="shared" si="11"/>
        <v>1919.6477132342477</v>
      </c>
      <c r="J21" s="27"/>
      <c r="K21" s="27"/>
      <c r="L21" s="27"/>
      <c r="M21" s="27"/>
      <c r="N21" s="27"/>
      <c r="O21" s="27"/>
      <c r="P21" s="27">
        <f>S21-30-50-100</f>
        <v>1899.6183560037684</v>
      </c>
      <c r="Q21" s="77">
        <f t="shared" si="7"/>
        <v>0.1874793544092106</v>
      </c>
      <c r="R21" s="28">
        <f t="shared" si="0"/>
        <v>0.54234594507593514</v>
      </c>
      <c r="S21" s="27">
        <f t="shared" si="1"/>
        <v>2079.6183560037684</v>
      </c>
      <c r="T21" s="27">
        <f t="shared" si="2"/>
        <v>1539.5527524713689</v>
      </c>
      <c r="U21" s="27">
        <f t="shared" si="3"/>
        <v>1231.6422019770951</v>
      </c>
      <c r="V21" s="29">
        <f t="shared" si="4"/>
        <v>118.74793544092105</v>
      </c>
      <c r="W21" s="30">
        <f t="shared" si="8"/>
        <v>119</v>
      </c>
      <c r="X21" s="30">
        <f t="shared" si="9"/>
        <v>19</v>
      </c>
      <c r="Y21" s="1">
        <f t="shared" si="10"/>
        <v>0.19</v>
      </c>
      <c r="AA21" s="31">
        <f t="shared" si="5"/>
        <v>7598.4734240150738</v>
      </c>
    </row>
    <row r="22" spans="1:27" ht="15.75" customHeight="1" x14ac:dyDescent="0.2">
      <c r="A22" s="1">
        <v>9</v>
      </c>
      <c r="B22" s="32"/>
      <c r="C22" s="33" t="s">
        <v>72</v>
      </c>
      <c r="D22" s="34">
        <v>2400</v>
      </c>
      <c r="E22" s="54">
        <v>1673.9701151762961</v>
      </c>
      <c r="F22" s="27">
        <v>1672.2236721223824</v>
      </c>
      <c r="G22" s="28">
        <f t="shared" si="6"/>
        <v>1.0443836449804955E-3</v>
      </c>
      <c r="H22" s="63">
        <v>2400</v>
      </c>
      <c r="I22" s="27">
        <f t="shared" si="11"/>
        <v>2880</v>
      </c>
      <c r="J22" s="27"/>
      <c r="K22" s="27"/>
      <c r="L22" s="27"/>
      <c r="M22" s="27"/>
      <c r="N22" s="27"/>
      <c r="O22" s="27"/>
      <c r="P22" s="27">
        <f>I22-30-50</f>
        <v>2800</v>
      </c>
      <c r="Q22" s="77">
        <f t="shared" si="7"/>
        <v>0.16666666666666674</v>
      </c>
      <c r="R22" s="28">
        <f t="shared" si="0"/>
        <v>0.39389186950186117</v>
      </c>
      <c r="S22" s="27">
        <f t="shared" si="1"/>
        <v>3120</v>
      </c>
      <c r="T22" s="27">
        <f t="shared" si="2"/>
        <v>2510.9551727644439</v>
      </c>
      <c r="U22" s="27">
        <f t="shared" si="3"/>
        <v>2008.7641382115553</v>
      </c>
      <c r="V22" s="29">
        <f t="shared" si="4"/>
        <v>116.66666666666667</v>
      </c>
      <c r="W22" s="30">
        <f t="shared" si="8"/>
        <v>117</v>
      </c>
      <c r="X22" s="30">
        <f t="shared" si="9"/>
        <v>17</v>
      </c>
      <c r="Y22" s="1">
        <f t="shared" si="10"/>
        <v>0.17</v>
      </c>
      <c r="AA22" s="31">
        <f t="shared" si="5"/>
        <v>11200</v>
      </c>
    </row>
    <row r="23" spans="1:27" ht="15.75" customHeight="1" x14ac:dyDescent="0.2">
      <c r="A23" s="1">
        <v>10</v>
      </c>
      <c r="B23" s="32"/>
      <c r="C23" s="33" t="s">
        <v>1</v>
      </c>
      <c r="D23" s="34">
        <v>2600</v>
      </c>
      <c r="E23" s="54">
        <v>4767.853485714646</v>
      </c>
      <c r="F23" s="27">
        <v>7815.2052049846998</v>
      </c>
      <c r="G23" s="28">
        <f>IFERROR(E23/F23-100%,FALSE)</f>
        <v>-0.38992600185678938</v>
      </c>
      <c r="H23" s="62">
        <v>2600</v>
      </c>
      <c r="I23" s="35"/>
      <c r="J23" s="35"/>
      <c r="K23" s="35"/>
      <c r="L23" s="35"/>
      <c r="M23" s="35"/>
      <c r="N23" s="35"/>
      <c r="O23" s="35"/>
      <c r="P23" s="27">
        <f>S23-30-50-200-50</f>
        <v>3050</v>
      </c>
      <c r="Q23" s="77">
        <f t="shared" si="7"/>
        <v>0.17307692307692313</v>
      </c>
      <c r="R23" s="28">
        <f t="shared" si="0"/>
        <v>-0.4669159456594123</v>
      </c>
      <c r="S23" s="27">
        <f t="shared" si="1"/>
        <v>3380</v>
      </c>
      <c r="T23" s="27">
        <f t="shared" ref="T23" si="12">E23*1.5</f>
        <v>7151.780228571969</v>
      </c>
      <c r="U23" s="27">
        <f t="shared" ref="U23" si="13">E23*1.2</f>
        <v>5721.424182857575</v>
      </c>
      <c r="V23" s="29">
        <f t="shared" ref="V23" si="14">P23/D23*100</f>
        <v>117.30769230769231</v>
      </c>
      <c r="W23" s="30">
        <f t="shared" ref="W23" si="15">ROUNDUP(V23,0)</f>
        <v>118</v>
      </c>
      <c r="X23" s="30">
        <f t="shared" ref="X23" si="16">W23-100</f>
        <v>18</v>
      </c>
      <c r="Y23" s="1">
        <f t="shared" ref="Y23" si="17">X23/100</f>
        <v>0.18</v>
      </c>
      <c r="AA23" s="31">
        <f t="shared" ref="AA23" si="18">P23*4</f>
        <v>12200</v>
      </c>
    </row>
    <row r="24" spans="1:27" ht="15.75" customHeight="1" x14ac:dyDescent="0.2">
      <c r="A24" s="1">
        <v>11</v>
      </c>
      <c r="B24" s="18"/>
      <c r="C24" s="19" t="s">
        <v>43</v>
      </c>
      <c r="D24" s="36"/>
      <c r="E24" s="55" t="e">
        <f>#REF!</f>
        <v>#REF!</v>
      </c>
      <c r="F24" s="21" t="e">
        <f>#REF!</f>
        <v>#REF!</v>
      </c>
      <c r="G24" s="22">
        <f>IFERROR(E24/F24-100%, )</f>
        <v>0</v>
      </c>
      <c r="H24" s="64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1:27" ht="15.75" customHeight="1" x14ac:dyDescent="0.2">
      <c r="A25" s="1">
        <v>12</v>
      </c>
      <c r="B25" s="32" t="s">
        <v>74</v>
      </c>
      <c r="C25" s="33" t="s">
        <v>75</v>
      </c>
      <c r="D25" s="34">
        <v>1300</v>
      </c>
      <c r="E25" s="54">
        <v>856.86369336470977</v>
      </c>
      <c r="F25" s="27">
        <v>678.71838982420786</v>
      </c>
      <c r="G25" s="28">
        <f t="shared" ref="G25:G31" si="19">IFERROR(E25/F25-100%,FALSE)</f>
        <v>0.26247307603768122</v>
      </c>
      <c r="H25" s="63">
        <v>1300</v>
      </c>
      <c r="I25" s="27">
        <f t="shared" ref="I25:I31" si="20">H25*1.2</f>
        <v>1560</v>
      </c>
      <c r="J25" s="27"/>
      <c r="K25" s="27"/>
      <c r="L25" s="27"/>
      <c r="M25" s="27"/>
      <c r="N25" s="27"/>
      <c r="O25" s="27"/>
      <c r="P25" s="27">
        <f>S25-10-80-50</f>
        <v>1550</v>
      </c>
      <c r="Q25" s="77">
        <f t="shared" si="7"/>
        <v>0.19230769230769229</v>
      </c>
      <c r="R25" s="28">
        <f>IFERROR(P25/U25-1,FALSE)</f>
        <v>0.50743540270049747</v>
      </c>
      <c r="S25" s="27">
        <f t="shared" ref="S25:S31" si="21">D25*1.3</f>
        <v>1690</v>
      </c>
      <c r="T25" s="27">
        <f>E25*1.5</f>
        <v>1285.2955400470646</v>
      </c>
      <c r="U25" s="27">
        <f>E25*1.2</f>
        <v>1028.2364320376516</v>
      </c>
      <c r="V25" s="29">
        <f t="shared" ref="V25:V31" si="22">P25/D25*100</f>
        <v>119.23076923076923</v>
      </c>
      <c r="W25" s="30">
        <f t="shared" ref="W25:W30" si="23">ROUNDUP(V25,0)</f>
        <v>120</v>
      </c>
      <c r="X25" s="30">
        <f t="shared" ref="X25:X30" si="24">W25-100</f>
        <v>20</v>
      </c>
      <c r="Y25" s="1">
        <f t="shared" ref="Y25:Y30" si="25">X25/100</f>
        <v>0.2</v>
      </c>
      <c r="AA25" s="31">
        <f t="shared" ref="AA25:AA30" si="26">P25*4</f>
        <v>6200</v>
      </c>
    </row>
    <row r="26" spans="1:27" ht="15.75" customHeight="1" x14ac:dyDescent="0.2">
      <c r="A26" s="1">
        <v>13</v>
      </c>
      <c r="B26" s="32"/>
      <c r="C26" s="33" t="s">
        <v>76</v>
      </c>
      <c r="D26" s="34">
        <v>1800</v>
      </c>
      <c r="E26" s="54">
        <v>1344.263516870283</v>
      </c>
      <c r="F26" s="27">
        <v>1301.3379680396895</v>
      </c>
      <c r="G26" s="28">
        <f t="shared" si="19"/>
        <v>3.2985703856205584E-2</v>
      </c>
      <c r="H26" s="63">
        <v>1800</v>
      </c>
      <c r="I26" s="27">
        <f t="shared" si="20"/>
        <v>2160</v>
      </c>
      <c r="J26" s="27"/>
      <c r="K26" s="27"/>
      <c r="L26" s="27"/>
      <c r="M26" s="27"/>
      <c r="N26" s="27"/>
      <c r="O26" s="27"/>
      <c r="P26" s="27">
        <f>S26-40-150</f>
        <v>2150</v>
      </c>
      <c r="Q26" s="77">
        <f t="shared" si="7"/>
        <v>0.19444444444444442</v>
      </c>
      <c r="R26" s="28">
        <f>IFERROR(P26/U26-1,FALSE)</f>
        <v>0.3328239918598912</v>
      </c>
      <c r="S26" s="27">
        <f t="shared" si="21"/>
        <v>2340</v>
      </c>
      <c r="T26" s="27">
        <f>E26*1.5</f>
        <v>2016.3952753054245</v>
      </c>
      <c r="U26" s="27">
        <f>E26*1.2</f>
        <v>1613.1162202443395</v>
      </c>
      <c r="V26" s="29">
        <f t="shared" si="22"/>
        <v>119.44444444444444</v>
      </c>
      <c r="W26" s="30">
        <f t="shared" si="23"/>
        <v>120</v>
      </c>
      <c r="X26" s="30">
        <f t="shared" si="24"/>
        <v>20</v>
      </c>
      <c r="Y26" s="1">
        <f t="shared" si="25"/>
        <v>0.2</v>
      </c>
      <c r="AA26" s="31">
        <f t="shared" si="26"/>
        <v>8600</v>
      </c>
    </row>
    <row r="27" spans="1:27" ht="15.75" customHeight="1" x14ac:dyDescent="0.2">
      <c r="A27" s="1">
        <v>14</v>
      </c>
      <c r="B27" s="32"/>
      <c r="C27" s="33" t="s">
        <v>413</v>
      </c>
      <c r="D27" s="34">
        <v>1500</v>
      </c>
      <c r="E27" s="54" t="s">
        <v>73</v>
      </c>
      <c r="F27" s="27" t="s">
        <v>73</v>
      </c>
      <c r="G27" s="28" t="b">
        <f t="shared" si="19"/>
        <v>0</v>
      </c>
      <c r="H27" s="63">
        <v>1500</v>
      </c>
      <c r="I27" s="27">
        <f t="shared" si="20"/>
        <v>1800</v>
      </c>
      <c r="J27" s="27"/>
      <c r="K27" s="27"/>
      <c r="L27" s="27"/>
      <c r="M27" s="27"/>
      <c r="N27" s="27"/>
      <c r="O27" s="27"/>
      <c r="P27" s="27">
        <f>S27-50-50</f>
        <v>1850</v>
      </c>
      <c r="Q27" s="77">
        <f t="shared" si="7"/>
        <v>0.23333333333333339</v>
      </c>
      <c r="R27" s="28"/>
      <c r="S27" s="27">
        <f t="shared" si="21"/>
        <v>1950</v>
      </c>
      <c r="T27" s="27"/>
      <c r="U27" s="27"/>
      <c r="V27" s="29">
        <f t="shared" si="22"/>
        <v>123.33333333333334</v>
      </c>
      <c r="W27" s="30">
        <f t="shared" ref="W27" si="27">ROUNDUP(V27,0)</f>
        <v>124</v>
      </c>
      <c r="X27" s="30">
        <f t="shared" ref="X27" si="28">W27-100</f>
        <v>24</v>
      </c>
      <c r="Y27" s="1">
        <f t="shared" ref="Y27" si="29">X27/100</f>
        <v>0.24</v>
      </c>
      <c r="AA27" s="31">
        <f t="shared" ref="AA27" si="30">P27*4</f>
        <v>7400</v>
      </c>
    </row>
    <row r="28" spans="1:27" ht="15.75" customHeight="1" x14ac:dyDescent="0.2">
      <c r="A28" s="1">
        <v>15</v>
      </c>
      <c r="B28" s="32"/>
      <c r="C28" s="33" t="s">
        <v>78</v>
      </c>
      <c r="D28" s="34">
        <v>1000</v>
      </c>
      <c r="E28" s="54">
        <v>539.97763923179605</v>
      </c>
      <c r="F28" s="27">
        <v>494.36882459707795</v>
      </c>
      <c r="G28" s="28">
        <f t="shared" si="19"/>
        <v>9.2256656094547029E-2</v>
      </c>
      <c r="H28" s="63">
        <v>1000</v>
      </c>
      <c r="I28" s="27">
        <f t="shared" si="20"/>
        <v>1200</v>
      </c>
      <c r="J28" s="27"/>
      <c r="K28" s="27"/>
      <c r="L28" s="27"/>
      <c r="M28" s="27"/>
      <c r="N28" s="27"/>
      <c r="O28" s="27"/>
      <c r="P28" s="27">
        <f>S28-150</f>
        <v>1150</v>
      </c>
      <c r="Q28" s="77">
        <f t="shared" si="7"/>
        <v>0.14999999999999991</v>
      </c>
      <c r="R28" s="28">
        <f t="shared" ref="R28:R30" si="31">IFERROR(P28/U28-1,FALSE)</f>
        <v>0.77476484896062492</v>
      </c>
      <c r="S28" s="27">
        <f t="shared" si="21"/>
        <v>1300</v>
      </c>
      <c r="T28" s="27">
        <f>E28*1.5</f>
        <v>809.96645884769407</v>
      </c>
      <c r="U28" s="27">
        <f>E28*1.2</f>
        <v>647.97316707815526</v>
      </c>
      <c r="V28" s="29">
        <f t="shared" si="22"/>
        <v>114.99999999999999</v>
      </c>
      <c r="W28" s="30">
        <f t="shared" si="23"/>
        <v>115</v>
      </c>
      <c r="X28" s="30">
        <f t="shared" si="24"/>
        <v>15</v>
      </c>
      <c r="Y28" s="1">
        <f t="shared" si="25"/>
        <v>0.15</v>
      </c>
      <c r="AA28" s="31">
        <f t="shared" si="26"/>
        <v>4600</v>
      </c>
    </row>
    <row r="29" spans="1:27" ht="15.75" customHeight="1" x14ac:dyDescent="0.2">
      <c r="A29" s="1">
        <v>16</v>
      </c>
      <c r="B29" s="32"/>
      <c r="C29" s="33" t="s">
        <v>79</v>
      </c>
      <c r="D29" s="34">
        <v>750</v>
      </c>
      <c r="E29" s="54">
        <v>761.96697289652138</v>
      </c>
      <c r="F29" s="27">
        <v>500.44608426217803</v>
      </c>
      <c r="G29" s="28">
        <f t="shared" si="19"/>
        <v>0.52257555180976412</v>
      </c>
      <c r="H29" s="63">
        <v>750</v>
      </c>
      <c r="I29" s="27">
        <f t="shared" si="20"/>
        <v>900</v>
      </c>
      <c r="J29" s="27"/>
      <c r="K29" s="27"/>
      <c r="L29" s="27"/>
      <c r="M29" s="27"/>
      <c r="N29" s="27"/>
      <c r="O29" s="27"/>
      <c r="P29" s="27">
        <f>S29-50</f>
        <v>925</v>
      </c>
      <c r="Q29" s="77">
        <f t="shared" si="7"/>
        <v>0.23333333333333339</v>
      </c>
      <c r="R29" s="28">
        <f t="shared" si="31"/>
        <v>1.1636147959415588E-2</v>
      </c>
      <c r="S29" s="27">
        <f t="shared" si="21"/>
        <v>975</v>
      </c>
      <c r="T29" s="27">
        <f>E29*1.5</f>
        <v>1142.9504593447821</v>
      </c>
      <c r="U29" s="27">
        <f>E29*1.2</f>
        <v>914.36036747582568</v>
      </c>
      <c r="V29" s="29">
        <f t="shared" si="22"/>
        <v>123.33333333333334</v>
      </c>
      <c r="W29" s="30">
        <f t="shared" si="23"/>
        <v>124</v>
      </c>
      <c r="X29" s="30">
        <f t="shared" si="24"/>
        <v>24</v>
      </c>
      <c r="Y29" s="1">
        <f t="shared" si="25"/>
        <v>0.24</v>
      </c>
      <c r="AA29" s="31">
        <f t="shared" si="26"/>
        <v>3700</v>
      </c>
    </row>
    <row r="30" spans="1:27" ht="15.75" customHeight="1" x14ac:dyDescent="0.2">
      <c r="A30" s="1">
        <v>17</v>
      </c>
      <c r="B30" s="32"/>
      <c r="C30" s="33" t="s">
        <v>80</v>
      </c>
      <c r="D30" s="34">
        <v>1300</v>
      </c>
      <c r="E30" s="54">
        <v>617.21208159382547</v>
      </c>
      <c r="F30" s="27">
        <v>518.79401878897158</v>
      </c>
      <c r="G30" s="28">
        <f t="shared" si="19"/>
        <v>0.18970546930088483</v>
      </c>
      <c r="H30" s="63">
        <v>1300</v>
      </c>
      <c r="I30" s="27">
        <f t="shared" si="20"/>
        <v>1560</v>
      </c>
      <c r="J30" s="27"/>
      <c r="K30" s="27"/>
      <c r="L30" s="27"/>
      <c r="M30" s="27"/>
      <c r="N30" s="27"/>
      <c r="O30" s="27"/>
      <c r="P30" s="27">
        <f>S30-90-50</f>
        <v>1550</v>
      </c>
      <c r="Q30" s="77">
        <f t="shared" si="7"/>
        <v>0.19230769230769229</v>
      </c>
      <c r="R30" s="28">
        <f t="shared" si="31"/>
        <v>1.0927436535772252</v>
      </c>
      <c r="S30" s="27">
        <f t="shared" si="21"/>
        <v>1690</v>
      </c>
      <c r="T30" s="27">
        <f>E30*1.5</f>
        <v>925.81812239073815</v>
      </c>
      <c r="U30" s="27">
        <f>E30*1.2</f>
        <v>740.6544979125905</v>
      </c>
      <c r="V30" s="29">
        <f t="shared" si="22"/>
        <v>119.23076923076923</v>
      </c>
      <c r="W30" s="30">
        <f t="shared" si="23"/>
        <v>120</v>
      </c>
      <c r="X30" s="30">
        <f t="shared" si="24"/>
        <v>20</v>
      </c>
      <c r="Y30" s="1">
        <f t="shared" si="25"/>
        <v>0.2</v>
      </c>
      <c r="AA30" s="31">
        <f t="shared" si="26"/>
        <v>6200</v>
      </c>
    </row>
    <row r="31" spans="1:27" ht="15.75" customHeight="1" thickBot="1" x14ac:dyDescent="0.25">
      <c r="A31" s="1">
        <v>18</v>
      </c>
      <c r="B31" s="38"/>
      <c r="C31" s="39" t="s">
        <v>2</v>
      </c>
      <c r="D31" s="34">
        <v>1600</v>
      </c>
      <c r="E31" s="54">
        <v>1305.8522278080866</v>
      </c>
      <c r="F31" s="27">
        <v>1239.7426304222186</v>
      </c>
      <c r="G31" s="28">
        <f t="shared" si="19"/>
        <v>5.3325259423686378E-2</v>
      </c>
      <c r="H31" s="63">
        <v>1600</v>
      </c>
      <c r="I31" s="27">
        <f t="shared" si="20"/>
        <v>1920</v>
      </c>
      <c r="J31" s="27"/>
      <c r="K31" s="27"/>
      <c r="L31" s="27"/>
      <c r="M31" s="27"/>
      <c r="N31" s="27"/>
      <c r="O31" s="27"/>
      <c r="P31" s="27">
        <f>S31-30-50-50-50</f>
        <v>1900</v>
      </c>
      <c r="Q31" s="77">
        <f t="shared" si="7"/>
        <v>0.1875</v>
      </c>
      <c r="R31" s="28">
        <f t="shared" ref="R31" si="32">IFERROR(P31/U31-1,FALSE)</f>
        <v>0.21249043315644323</v>
      </c>
      <c r="S31" s="27">
        <f t="shared" si="21"/>
        <v>2080</v>
      </c>
      <c r="T31" s="27">
        <f>E31*1.5</f>
        <v>1958.77834171213</v>
      </c>
      <c r="U31" s="27">
        <f>E31*1.2</f>
        <v>1567.0226733697039</v>
      </c>
      <c r="V31" s="29">
        <f t="shared" si="22"/>
        <v>118.75</v>
      </c>
      <c r="AA31" s="31">
        <f>P31*4</f>
        <v>7600</v>
      </c>
    </row>
    <row r="32" spans="1:27" ht="15.75" customHeight="1" x14ac:dyDescent="0.2">
      <c r="A32" s="1">
        <v>19</v>
      </c>
      <c r="B32" s="14"/>
      <c r="C32" s="15" t="s">
        <v>30</v>
      </c>
      <c r="D32" s="16"/>
      <c r="E32" s="52"/>
      <c r="F32" s="17"/>
      <c r="G32" s="17"/>
      <c r="H32" s="6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25" ht="15.75" customHeight="1" x14ac:dyDescent="0.2">
      <c r="A33" s="1">
        <v>20</v>
      </c>
      <c r="B33" s="40"/>
      <c r="C33" s="19" t="s">
        <v>44</v>
      </c>
      <c r="D33" s="41"/>
      <c r="E33" s="53"/>
      <c r="F33" s="42"/>
      <c r="G33" s="42"/>
      <c r="H33" s="66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</row>
    <row r="34" spans="1:25" ht="15.75" customHeight="1" x14ac:dyDescent="0.2">
      <c r="A34" s="1">
        <v>21</v>
      </c>
      <c r="B34" s="32" t="s">
        <v>81</v>
      </c>
      <c r="C34" s="33" t="s">
        <v>414</v>
      </c>
      <c r="D34" s="34">
        <v>1650</v>
      </c>
      <c r="E34" s="51"/>
      <c r="F34" s="35"/>
      <c r="G34" s="28" t="b">
        <f t="shared" ref="G34:G37" si="33">IFERROR(E34/F34-100%,FALSE)</f>
        <v>0</v>
      </c>
      <c r="H34" s="63">
        <v>1650</v>
      </c>
      <c r="I34" s="27">
        <f t="shared" ref="I34:I37" si="34">H34*1.2</f>
        <v>1980</v>
      </c>
      <c r="J34" s="27"/>
      <c r="K34" s="35"/>
      <c r="L34" s="35"/>
      <c r="M34" s="35"/>
      <c r="N34" s="35"/>
      <c r="O34" s="35">
        <v>2500</v>
      </c>
      <c r="P34" s="35">
        <f>S34-45-100</f>
        <v>2000</v>
      </c>
      <c r="Q34" s="77">
        <f t="shared" ref="Q34:Q37" si="35">P34/D34-1</f>
        <v>0.21212121212121215</v>
      </c>
      <c r="R34" s="28"/>
      <c r="S34" s="27">
        <f>D34*1.3</f>
        <v>2145</v>
      </c>
      <c r="T34" s="27">
        <f>E34*1.5</f>
        <v>0</v>
      </c>
      <c r="V34" s="29">
        <f>P34/D34*100</f>
        <v>121.21212121212122</v>
      </c>
      <c r="W34" s="30">
        <f t="shared" ref="W34:W37" si="36">ROUNDUP(V34,0)</f>
        <v>122</v>
      </c>
      <c r="X34" s="30">
        <f t="shared" ref="X34:X37" si="37">W34-100</f>
        <v>22</v>
      </c>
      <c r="Y34" s="1">
        <f t="shared" ref="Y34:Y37" si="38">X34/100</f>
        <v>0.22</v>
      </c>
    </row>
    <row r="35" spans="1:25" ht="15.75" customHeight="1" x14ac:dyDescent="0.25">
      <c r="A35" s="1">
        <v>22</v>
      </c>
      <c r="B35" s="32"/>
      <c r="C35" s="79" t="s">
        <v>415</v>
      </c>
      <c r="D35" s="26">
        <v>1800</v>
      </c>
      <c r="E35" s="54">
        <v>1151.8015036375252</v>
      </c>
      <c r="F35" s="27">
        <v>809.21025845205327</v>
      </c>
      <c r="G35" s="28">
        <f t="shared" si="33"/>
        <v>0.42336493093997385</v>
      </c>
      <c r="H35" s="62">
        <v>1800</v>
      </c>
      <c r="I35" s="27">
        <f t="shared" si="34"/>
        <v>2160</v>
      </c>
      <c r="J35" s="27"/>
      <c r="K35" s="27"/>
      <c r="L35" s="27"/>
      <c r="M35" s="27"/>
      <c r="N35" s="27"/>
      <c r="O35" s="27">
        <v>3200</v>
      </c>
      <c r="P35" s="35">
        <f>S35+60-100</f>
        <v>2300</v>
      </c>
      <c r="Q35" s="77">
        <f t="shared" si="35"/>
        <v>0.27777777777777768</v>
      </c>
      <c r="R35" s="28">
        <f t="shared" ref="R35:R37" si="39">IFERROR(P35/U35-1,FALSE)</f>
        <v>0.66405987543305578</v>
      </c>
      <c r="S35" s="27">
        <f>D35*1.3</f>
        <v>2340</v>
      </c>
      <c r="T35" s="27">
        <f>E35*1.5</f>
        <v>1727.7022554562877</v>
      </c>
      <c r="U35" s="27">
        <f>E35*1.2</f>
        <v>1382.1618043650303</v>
      </c>
      <c r="V35" s="29">
        <f>P35/D35*100</f>
        <v>127.77777777777777</v>
      </c>
      <c r="W35" s="30">
        <f t="shared" si="36"/>
        <v>128</v>
      </c>
      <c r="X35" s="30">
        <f t="shared" si="37"/>
        <v>28</v>
      </c>
      <c r="Y35" s="1">
        <f t="shared" si="38"/>
        <v>0.28000000000000003</v>
      </c>
    </row>
    <row r="36" spans="1:25" ht="15.75" customHeight="1" x14ac:dyDescent="0.25">
      <c r="A36" s="1">
        <v>23</v>
      </c>
      <c r="B36" s="32"/>
      <c r="C36" s="79" t="s">
        <v>416</v>
      </c>
      <c r="D36" s="26">
        <v>1900</v>
      </c>
      <c r="E36" s="54">
        <v>1332.1077546720182</v>
      </c>
      <c r="F36" s="27">
        <v>1050.3143051431391</v>
      </c>
      <c r="G36" s="28">
        <f t="shared" si="33"/>
        <v>0.26829440306487662</v>
      </c>
      <c r="H36" s="62">
        <v>1900</v>
      </c>
      <c r="I36" s="27">
        <f t="shared" si="34"/>
        <v>2280</v>
      </c>
      <c r="J36" s="27"/>
      <c r="K36" s="27"/>
      <c r="L36" s="27"/>
      <c r="M36" s="27"/>
      <c r="N36" s="27"/>
      <c r="O36" s="27"/>
      <c r="P36" s="35">
        <f>S36+30-100</f>
        <v>2400</v>
      </c>
      <c r="Q36" s="77">
        <f t="shared" si="35"/>
        <v>0.26315789473684204</v>
      </c>
      <c r="R36" s="28">
        <f t="shared" si="39"/>
        <v>0.50138004450880591</v>
      </c>
      <c r="S36" s="27">
        <f>D36*1.3</f>
        <v>2470</v>
      </c>
      <c r="T36" s="27">
        <f>E36*1.5</f>
        <v>1998.1616320080275</v>
      </c>
      <c r="U36" s="27">
        <f>E36*1.2</f>
        <v>1598.5293056064218</v>
      </c>
      <c r="V36" s="29">
        <f>P36/D36*100</f>
        <v>126.31578947368421</v>
      </c>
      <c r="W36" s="30">
        <f t="shared" si="36"/>
        <v>127</v>
      </c>
      <c r="X36" s="30">
        <f t="shared" si="37"/>
        <v>27</v>
      </c>
      <c r="Y36" s="1">
        <f t="shared" si="38"/>
        <v>0.27</v>
      </c>
    </row>
    <row r="37" spans="1:25" ht="15.75" customHeight="1" x14ac:dyDescent="0.25">
      <c r="A37" s="1">
        <v>24</v>
      </c>
      <c r="B37" s="32"/>
      <c r="C37" s="79" t="s">
        <v>417</v>
      </c>
      <c r="D37" s="34">
        <v>2500</v>
      </c>
      <c r="E37" s="54">
        <v>1385.8973303877378</v>
      </c>
      <c r="F37" s="35">
        <v>1737.7612469306912</v>
      </c>
      <c r="G37" s="28">
        <f t="shared" si="33"/>
        <v>-0.20248116199186195</v>
      </c>
      <c r="H37" s="63">
        <v>2500</v>
      </c>
      <c r="I37" s="27">
        <f t="shared" si="34"/>
        <v>3000</v>
      </c>
      <c r="J37" s="27"/>
      <c r="K37" s="27"/>
      <c r="L37" s="27"/>
      <c r="M37" s="27"/>
      <c r="N37" s="27"/>
      <c r="O37" s="27"/>
      <c r="P37" s="35">
        <f>S37-10-40-100-100</f>
        <v>3000</v>
      </c>
      <c r="Q37" s="77">
        <f t="shared" si="35"/>
        <v>0.19999999999999996</v>
      </c>
      <c r="R37" s="28">
        <f t="shared" si="39"/>
        <v>0.80388542872837876</v>
      </c>
      <c r="S37" s="27">
        <f>D37*1.3</f>
        <v>3250</v>
      </c>
      <c r="T37" s="27">
        <f>E37*1.5</f>
        <v>2078.845995581607</v>
      </c>
      <c r="U37" s="27">
        <f>E37*1.2</f>
        <v>1663.0767964652853</v>
      </c>
      <c r="V37" s="29">
        <f>P37/D37*100</f>
        <v>120</v>
      </c>
      <c r="W37" s="30">
        <f t="shared" si="36"/>
        <v>120</v>
      </c>
      <c r="X37" s="30">
        <f t="shared" si="37"/>
        <v>20</v>
      </c>
      <c r="Y37" s="1">
        <f t="shared" si="38"/>
        <v>0.2</v>
      </c>
    </row>
    <row r="38" spans="1:25" ht="15.75" customHeight="1" x14ac:dyDescent="0.2">
      <c r="A38" s="1">
        <v>25</v>
      </c>
      <c r="B38" s="18"/>
      <c r="C38" s="19" t="s">
        <v>45</v>
      </c>
      <c r="D38" s="41"/>
      <c r="E38" s="53"/>
      <c r="F38" s="42"/>
      <c r="G38" s="42"/>
      <c r="H38" s="6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</row>
    <row r="39" spans="1:25" s="43" customFormat="1" ht="15.75" customHeight="1" x14ac:dyDescent="0.2">
      <c r="A39" s="1">
        <v>26</v>
      </c>
      <c r="B39" s="24"/>
      <c r="C39" s="25" t="s">
        <v>86</v>
      </c>
      <c r="D39" s="26">
        <v>1800</v>
      </c>
      <c r="E39" s="56">
        <v>1219.9372860710512</v>
      </c>
      <c r="F39" s="27">
        <v>1065.7253344185931</v>
      </c>
      <c r="G39" s="28">
        <f t="shared" ref="G39:G46" si="40">IFERROR(E39/F39-100%,FALSE)</f>
        <v>0.14470140351555827</v>
      </c>
      <c r="H39" s="62">
        <v>1800</v>
      </c>
      <c r="I39" s="27">
        <f t="shared" ref="I39:I46" si="41">H39*1.2</f>
        <v>2160</v>
      </c>
      <c r="J39" s="27"/>
      <c r="K39" s="27"/>
      <c r="L39" s="27"/>
      <c r="M39" s="27"/>
      <c r="N39" s="27"/>
      <c r="O39" s="27"/>
      <c r="P39" s="27">
        <f>S39-20-20-50-50</f>
        <v>2200</v>
      </c>
      <c r="Q39" s="77">
        <f t="shared" ref="Q39:Q46" si="42">P39/D39-1</f>
        <v>0.22222222222222232</v>
      </c>
      <c r="R39" s="28">
        <f t="shared" ref="R39:R46" si="43">IFERROR(P39/U39-1,FALSE)</f>
        <v>0.50280949214839965</v>
      </c>
      <c r="S39" s="27">
        <f t="shared" ref="S39:S46" si="44">D39*1.3</f>
        <v>2340</v>
      </c>
      <c r="T39" s="27">
        <f t="shared" ref="T39:T46" si="45">E39*1.5</f>
        <v>1829.9059291065769</v>
      </c>
      <c r="U39" s="27">
        <f t="shared" ref="U39:U46" si="46">E39*1.2</f>
        <v>1463.9247432852615</v>
      </c>
      <c r="V39" s="29">
        <f t="shared" ref="V39:V46" si="47">P39/D39*100</f>
        <v>122.22222222222223</v>
      </c>
      <c r="W39" s="30">
        <f t="shared" ref="W39:W46" si="48">ROUNDUP(V39,0)</f>
        <v>123</v>
      </c>
      <c r="X39" s="30">
        <f t="shared" ref="X39:X46" si="49">W39-100</f>
        <v>23</v>
      </c>
      <c r="Y39" s="1">
        <f t="shared" ref="Y39:Y46" si="50">X39/100</f>
        <v>0.23</v>
      </c>
    </row>
    <row r="40" spans="1:25" ht="15.75" customHeight="1" x14ac:dyDescent="0.2">
      <c r="A40" s="1">
        <v>27</v>
      </c>
      <c r="B40" s="32"/>
      <c r="C40" s="33" t="s">
        <v>87</v>
      </c>
      <c r="D40" s="26">
        <v>2500</v>
      </c>
      <c r="E40" s="56">
        <v>1086.6273786245231</v>
      </c>
      <c r="F40" s="27">
        <v>894.60798716213685</v>
      </c>
      <c r="G40" s="28">
        <f t="shared" si="40"/>
        <v>0.21464081946273206</v>
      </c>
      <c r="H40" s="62">
        <v>2500</v>
      </c>
      <c r="I40" s="27">
        <f t="shared" si="41"/>
        <v>3000</v>
      </c>
      <c r="J40" s="27">
        <v>2650</v>
      </c>
      <c r="K40" s="27"/>
      <c r="L40" s="27"/>
      <c r="M40" s="27"/>
      <c r="N40" s="27"/>
      <c r="O40" s="27">
        <v>2900</v>
      </c>
      <c r="P40" s="27">
        <f>J40+50</f>
        <v>2700</v>
      </c>
      <c r="Q40" s="77">
        <f t="shared" si="42"/>
        <v>8.0000000000000071E-2</v>
      </c>
      <c r="R40" s="28">
        <f t="shared" si="43"/>
        <v>1.0706270100134048</v>
      </c>
      <c r="S40" s="27">
        <f t="shared" si="44"/>
        <v>3250</v>
      </c>
      <c r="T40" s="27">
        <f t="shared" si="45"/>
        <v>1629.9410679367847</v>
      </c>
      <c r="U40" s="27">
        <f t="shared" si="46"/>
        <v>1303.9528543494278</v>
      </c>
      <c r="V40" s="29">
        <f t="shared" si="47"/>
        <v>108</v>
      </c>
      <c r="W40" s="30">
        <f t="shared" si="48"/>
        <v>108</v>
      </c>
      <c r="X40" s="30">
        <f t="shared" si="49"/>
        <v>8</v>
      </c>
      <c r="Y40" s="1">
        <f t="shared" si="50"/>
        <v>0.08</v>
      </c>
    </row>
    <row r="41" spans="1:25" s="43" customFormat="1" ht="38.25" x14ac:dyDescent="0.2">
      <c r="A41" s="1">
        <v>28</v>
      </c>
      <c r="B41" s="24"/>
      <c r="C41" s="25" t="s">
        <v>88</v>
      </c>
      <c r="D41" s="26">
        <v>3000</v>
      </c>
      <c r="E41" s="56">
        <v>2083.4986647873461</v>
      </c>
      <c r="F41" s="27">
        <v>1912.9821746478133</v>
      </c>
      <c r="G41" s="28">
        <f t="shared" si="40"/>
        <v>8.9136476230326389E-2</v>
      </c>
      <c r="H41" s="62">
        <v>3000</v>
      </c>
      <c r="I41" s="27">
        <f t="shared" si="41"/>
        <v>3600</v>
      </c>
      <c r="J41" s="27"/>
      <c r="K41" s="27"/>
      <c r="L41" s="27"/>
      <c r="M41" s="27"/>
      <c r="N41" s="27"/>
      <c r="O41" s="27">
        <v>2900</v>
      </c>
      <c r="P41" s="27">
        <f>S41-50-50-100</f>
        <v>3700</v>
      </c>
      <c r="Q41" s="77">
        <f t="shared" si="42"/>
        <v>0.23333333333333339</v>
      </c>
      <c r="R41" s="28">
        <f t="shared" si="43"/>
        <v>0.47988255785517198</v>
      </c>
      <c r="S41" s="27">
        <f t="shared" si="44"/>
        <v>3900</v>
      </c>
      <c r="T41" s="27">
        <f t="shared" si="45"/>
        <v>3125.2479971810189</v>
      </c>
      <c r="U41" s="27">
        <f t="shared" si="46"/>
        <v>2500.1983977448153</v>
      </c>
      <c r="V41" s="29">
        <f t="shared" si="47"/>
        <v>123.33333333333334</v>
      </c>
      <c r="W41" s="30">
        <f t="shared" si="48"/>
        <v>124</v>
      </c>
      <c r="X41" s="30">
        <f t="shared" si="49"/>
        <v>24</v>
      </c>
      <c r="Y41" s="1">
        <f t="shared" si="50"/>
        <v>0.24</v>
      </c>
    </row>
    <row r="42" spans="1:25" ht="15.75" customHeight="1" x14ac:dyDescent="0.2">
      <c r="A42" s="1">
        <v>29</v>
      </c>
      <c r="B42" s="32"/>
      <c r="C42" s="33" t="s">
        <v>89</v>
      </c>
      <c r="D42" s="34">
        <v>5000</v>
      </c>
      <c r="E42" s="56">
        <v>3250.0530866588542</v>
      </c>
      <c r="F42" s="35">
        <v>3239.2757037200045</v>
      </c>
      <c r="G42" s="28">
        <f t="shared" si="40"/>
        <v>3.327096525458817E-3</v>
      </c>
      <c r="H42" s="63">
        <v>5000</v>
      </c>
      <c r="I42" s="27">
        <f t="shared" si="41"/>
        <v>6000</v>
      </c>
      <c r="J42" s="27"/>
      <c r="K42" s="27"/>
      <c r="L42" s="27"/>
      <c r="M42" s="27"/>
      <c r="N42" s="27"/>
      <c r="O42" s="27">
        <v>7900</v>
      </c>
      <c r="P42" s="27">
        <f>S42-20-80-150-100-100</f>
        <v>6050</v>
      </c>
      <c r="Q42" s="77">
        <f t="shared" si="42"/>
        <v>0.20999999999999996</v>
      </c>
      <c r="R42" s="28">
        <f t="shared" si="43"/>
        <v>0.55125671250177688</v>
      </c>
      <c r="S42" s="27">
        <f t="shared" si="44"/>
        <v>6500</v>
      </c>
      <c r="T42" s="27">
        <f t="shared" si="45"/>
        <v>4875.0796299882813</v>
      </c>
      <c r="U42" s="27">
        <f t="shared" si="46"/>
        <v>3900.0637039906251</v>
      </c>
      <c r="V42" s="29">
        <f t="shared" si="47"/>
        <v>121</v>
      </c>
      <c r="W42" s="30">
        <f t="shared" si="48"/>
        <v>121</v>
      </c>
      <c r="X42" s="30">
        <f t="shared" si="49"/>
        <v>21</v>
      </c>
      <c r="Y42" s="1">
        <f t="shared" si="50"/>
        <v>0.21</v>
      </c>
    </row>
    <row r="43" spans="1:25" ht="15.75" customHeight="1" x14ac:dyDescent="0.2">
      <c r="A43" s="1">
        <v>30</v>
      </c>
      <c r="B43" s="32"/>
      <c r="C43" s="33" t="s">
        <v>90</v>
      </c>
      <c r="D43" s="34">
        <v>2200</v>
      </c>
      <c r="E43" s="56">
        <v>1701.5774171898827</v>
      </c>
      <c r="F43" s="35">
        <v>1559.1282048458938</v>
      </c>
      <c r="G43" s="28">
        <f t="shared" si="40"/>
        <v>9.1364656159285351E-2</v>
      </c>
      <c r="H43" s="63">
        <v>2200</v>
      </c>
      <c r="I43" s="69">
        <v>2700</v>
      </c>
      <c r="J43" s="27"/>
      <c r="K43" s="27"/>
      <c r="L43" s="27"/>
      <c r="M43" s="27">
        <v>3500</v>
      </c>
      <c r="N43" s="27"/>
      <c r="O43" s="27"/>
      <c r="P43" s="27">
        <f>2700-100</f>
        <v>2600</v>
      </c>
      <c r="Q43" s="77">
        <f t="shared" si="42"/>
        <v>0.18181818181818188</v>
      </c>
      <c r="R43" s="28">
        <f t="shared" si="43"/>
        <v>0.27332829219423282</v>
      </c>
      <c r="S43" s="27">
        <f t="shared" si="44"/>
        <v>2860</v>
      </c>
      <c r="T43" s="27">
        <f t="shared" si="45"/>
        <v>2552.3661257848239</v>
      </c>
      <c r="U43" s="27">
        <f t="shared" si="46"/>
        <v>2041.892900627859</v>
      </c>
      <c r="V43" s="29">
        <f t="shared" si="47"/>
        <v>118.18181818181819</v>
      </c>
      <c r="W43" s="30">
        <f t="shared" si="48"/>
        <v>119</v>
      </c>
      <c r="X43" s="30">
        <f t="shared" si="49"/>
        <v>19</v>
      </c>
      <c r="Y43" s="1">
        <f t="shared" si="50"/>
        <v>0.19</v>
      </c>
    </row>
    <row r="44" spans="1:25" s="43" customFormat="1" ht="15.75" customHeight="1" x14ac:dyDescent="0.2">
      <c r="A44" s="1">
        <v>31</v>
      </c>
      <c r="B44" s="24"/>
      <c r="C44" s="25" t="s">
        <v>91</v>
      </c>
      <c r="D44" s="26">
        <v>2200</v>
      </c>
      <c r="E44" s="56">
        <v>1254.7939185505245</v>
      </c>
      <c r="F44" s="27">
        <v>921.5730212537527</v>
      </c>
      <c r="G44" s="28">
        <f t="shared" si="40"/>
        <v>0.3615783986855885</v>
      </c>
      <c r="H44" s="62">
        <v>2200</v>
      </c>
      <c r="I44" s="27">
        <f t="shared" si="41"/>
        <v>2640</v>
      </c>
      <c r="J44" s="27"/>
      <c r="K44" s="27"/>
      <c r="L44" s="27">
        <v>1800</v>
      </c>
      <c r="M44" s="27"/>
      <c r="N44" s="27"/>
      <c r="O44" s="27">
        <v>3200</v>
      </c>
      <c r="P44" s="27">
        <f>2700-100</f>
        <v>2600</v>
      </c>
      <c r="Q44" s="77">
        <f t="shared" si="42"/>
        <v>0.18181818181818188</v>
      </c>
      <c r="R44" s="28">
        <f t="shared" si="43"/>
        <v>0.72671116319203422</v>
      </c>
      <c r="S44" s="27">
        <f t="shared" si="44"/>
        <v>2860</v>
      </c>
      <c r="T44" s="27">
        <f t="shared" si="45"/>
        <v>1882.1908778257866</v>
      </c>
      <c r="U44" s="27">
        <f t="shared" si="46"/>
        <v>1505.7527022606293</v>
      </c>
      <c r="V44" s="29">
        <f t="shared" si="47"/>
        <v>118.18181818181819</v>
      </c>
      <c r="W44" s="30">
        <f t="shared" si="48"/>
        <v>119</v>
      </c>
      <c r="X44" s="30">
        <f t="shared" si="49"/>
        <v>19</v>
      </c>
      <c r="Y44" s="1">
        <f t="shared" si="50"/>
        <v>0.19</v>
      </c>
    </row>
    <row r="45" spans="1:25" s="43" customFormat="1" ht="15.75" customHeight="1" x14ac:dyDescent="0.2">
      <c r="A45" s="1">
        <v>32</v>
      </c>
      <c r="B45" s="24"/>
      <c r="C45" s="25" t="s">
        <v>92</v>
      </c>
      <c r="D45" s="26">
        <v>2000</v>
      </c>
      <c r="E45" s="56">
        <v>883.29751378464186</v>
      </c>
      <c r="F45" s="27">
        <v>698.12741064915531</v>
      </c>
      <c r="G45" s="28">
        <f t="shared" si="40"/>
        <v>0.26523826497989211</v>
      </c>
      <c r="H45" s="62">
        <v>2000</v>
      </c>
      <c r="I45" s="27">
        <f t="shared" si="41"/>
        <v>2400</v>
      </c>
      <c r="J45" s="27"/>
      <c r="K45" s="27"/>
      <c r="L45" s="27">
        <v>1800</v>
      </c>
      <c r="M45" s="27"/>
      <c r="N45" s="27"/>
      <c r="O45" s="27"/>
      <c r="P45" s="27">
        <f>S45-50-50-100</f>
        <v>2400</v>
      </c>
      <c r="Q45" s="77">
        <f t="shared" si="42"/>
        <v>0.19999999999999996</v>
      </c>
      <c r="R45" s="28">
        <f t="shared" si="43"/>
        <v>1.2642427594193624</v>
      </c>
      <c r="S45" s="27">
        <f t="shared" si="44"/>
        <v>2600</v>
      </c>
      <c r="T45" s="27">
        <f t="shared" si="45"/>
        <v>1324.9462706769627</v>
      </c>
      <c r="U45" s="27">
        <f t="shared" si="46"/>
        <v>1059.9570165415703</v>
      </c>
      <c r="V45" s="29">
        <f t="shared" si="47"/>
        <v>120</v>
      </c>
      <c r="W45" s="30">
        <f t="shared" si="48"/>
        <v>120</v>
      </c>
      <c r="X45" s="30">
        <f t="shared" si="49"/>
        <v>20</v>
      </c>
      <c r="Y45" s="1">
        <f t="shared" si="50"/>
        <v>0.2</v>
      </c>
    </row>
    <row r="46" spans="1:25" s="43" customFormat="1" ht="15.75" customHeight="1" x14ac:dyDescent="0.2">
      <c r="A46" s="1">
        <v>33</v>
      </c>
      <c r="B46" s="24"/>
      <c r="C46" s="25" t="s">
        <v>12</v>
      </c>
      <c r="D46" s="26">
        <v>2700</v>
      </c>
      <c r="E46" s="56">
        <v>1295.6057622103713</v>
      </c>
      <c r="F46" s="27">
        <v>1147.0719954440292</v>
      </c>
      <c r="G46" s="28">
        <f t="shared" si="40"/>
        <v>0.12948948920058401</v>
      </c>
      <c r="H46" s="62">
        <v>2700</v>
      </c>
      <c r="I46" s="27">
        <f t="shared" si="41"/>
        <v>3240</v>
      </c>
      <c r="J46" s="27"/>
      <c r="K46" s="27"/>
      <c r="L46" s="27"/>
      <c r="M46" s="27"/>
      <c r="N46" s="27"/>
      <c r="O46" s="27"/>
      <c r="P46" s="27">
        <f>S46-50-50-100-30</f>
        <v>3280</v>
      </c>
      <c r="Q46" s="77">
        <f t="shared" si="42"/>
        <v>0.21481481481481479</v>
      </c>
      <c r="R46" s="28">
        <f t="shared" si="43"/>
        <v>1.1096952584327222</v>
      </c>
      <c r="S46" s="27">
        <f t="shared" si="44"/>
        <v>3510</v>
      </c>
      <c r="T46" s="27">
        <f t="shared" si="45"/>
        <v>1943.4086433155569</v>
      </c>
      <c r="U46" s="27">
        <f t="shared" si="46"/>
        <v>1554.7269146524454</v>
      </c>
      <c r="V46" s="29">
        <f t="shared" si="47"/>
        <v>121.48148148148148</v>
      </c>
      <c r="W46" s="30">
        <f t="shared" si="48"/>
        <v>122</v>
      </c>
      <c r="X46" s="30">
        <f t="shared" si="49"/>
        <v>22</v>
      </c>
      <c r="Y46" s="1">
        <f t="shared" si="50"/>
        <v>0.22</v>
      </c>
    </row>
    <row r="47" spans="1:25" ht="15.75" customHeight="1" x14ac:dyDescent="0.2">
      <c r="A47" s="1">
        <v>34</v>
      </c>
      <c r="B47" s="18"/>
      <c r="C47" s="19" t="s">
        <v>46</v>
      </c>
      <c r="D47" s="41"/>
      <c r="E47" s="53"/>
      <c r="F47" s="42"/>
      <c r="G47" s="42"/>
      <c r="H47" s="66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</row>
    <row r="48" spans="1:25" ht="15.75" customHeight="1" x14ac:dyDescent="0.2">
      <c r="A48" s="1">
        <v>35</v>
      </c>
      <c r="B48" s="32" t="s">
        <v>93</v>
      </c>
      <c r="C48" s="33" t="s">
        <v>94</v>
      </c>
      <c r="D48" s="34">
        <v>1300</v>
      </c>
      <c r="E48" s="56">
        <v>818.80073030465007</v>
      </c>
      <c r="F48" s="35">
        <v>679.7578442306816</v>
      </c>
      <c r="G48" s="28">
        <f t="shared" ref="G48:G67" si="51">IFERROR(E48/F48-100%,FALSE)</f>
        <v>0.20454767422556297</v>
      </c>
      <c r="H48" s="63">
        <v>1300</v>
      </c>
      <c r="I48" s="27">
        <f t="shared" ref="I48:I60" si="52">H48*1.2</f>
        <v>1560</v>
      </c>
      <c r="J48" s="27"/>
      <c r="K48" s="27">
        <v>2500</v>
      </c>
      <c r="L48" s="27"/>
      <c r="M48" s="27"/>
      <c r="N48" s="27"/>
      <c r="O48" s="27"/>
      <c r="P48" s="27">
        <f>S48-90-100</f>
        <v>1500</v>
      </c>
      <c r="Q48" s="77">
        <f t="shared" ref="Q48:Q67" si="53">P48/D48-1</f>
        <v>0.15384615384615374</v>
      </c>
      <c r="R48" s="28">
        <f t="shared" ref="R48:R58" si="54">IFERROR(P48/U48-1,FALSE)</f>
        <v>0.52662296665870612</v>
      </c>
      <c r="S48" s="27">
        <f t="shared" ref="S48:S67" si="55">D48*1.3</f>
        <v>1690</v>
      </c>
      <c r="T48" s="27">
        <f>E48*1.5</f>
        <v>1228.2010954569751</v>
      </c>
      <c r="U48" s="27">
        <f>E48*1.2</f>
        <v>982.56087636558004</v>
      </c>
      <c r="V48" s="29">
        <f t="shared" ref="V48:V67" si="56">P48/D48*100</f>
        <v>115.38461538461537</v>
      </c>
      <c r="W48" s="30">
        <f t="shared" ref="W48:W67" si="57">ROUNDUP(V48,0)</f>
        <v>116</v>
      </c>
      <c r="X48" s="30">
        <f t="shared" ref="X48:X67" si="58">W48-100</f>
        <v>16</v>
      </c>
      <c r="Y48" s="1">
        <f t="shared" ref="Y48:Y67" si="59">X48/100</f>
        <v>0.16</v>
      </c>
    </row>
    <row r="49" spans="1:25" ht="15.75" customHeight="1" x14ac:dyDescent="0.2">
      <c r="A49" s="1">
        <v>36</v>
      </c>
      <c r="B49" s="32"/>
      <c r="C49" s="33" t="s">
        <v>95</v>
      </c>
      <c r="D49" s="26">
        <v>1200</v>
      </c>
      <c r="E49" s="57">
        <v>0</v>
      </c>
      <c r="F49" s="58">
        <v>0</v>
      </c>
      <c r="G49" s="28"/>
      <c r="H49" s="62">
        <v>1200</v>
      </c>
      <c r="I49" s="27">
        <f t="shared" si="52"/>
        <v>1440</v>
      </c>
      <c r="J49" s="27"/>
      <c r="K49" s="27">
        <v>2600</v>
      </c>
      <c r="L49" s="27"/>
      <c r="M49" s="27"/>
      <c r="N49" s="27"/>
      <c r="O49" s="27"/>
      <c r="P49" s="27">
        <f>S49-60-100</f>
        <v>1400</v>
      </c>
      <c r="Q49" s="77">
        <f t="shared" si="53"/>
        <v>0.16666666666666674</v>
      </c>
      <c r="R49" s="28"/>
      <c r="S49" s="27">
        <f t="shared" si="55"/>
        <v>1560</v>
      </c>
      <c r="T49" s="27"/>
      <c r="V49" s="29">
        <f t="shared" si="56"/>
        <v>116.66666666666667</v>
      </c>
      <c r="W49" s="30">
        <f t="shared" si="57"/>
        <v>117</v>
      </c>
      <c r="X49" s="30">
        <f t="shared" si="58"/>
        <v>17</v>
      </c>
      <c r="Y49" s="1">
        <f t="shared" si="59"/>
        <v>0.17</v>
      </c>
    </row>
    <row r="50" spans="1:25" s="43" customFormat="1" ht="15.75" customHeight="1" x14ac:dyDescent="0.2">
      <c r="A50" s="1">
        <v>37</v>
      </c>
      <c r="B50" s="24"/>
      <c r="C50" s="25" t="s">
        <v>96</v>
      </c>
      <c r="D50" s="26">
        <v>1600</v>
      </c>
      <c r="E50" s="56">
        <v>1042.6804550191036</v>
      </c>
      <c r="F50" s="27">
        <v>1076.9304896771257</v>
      </c>
      <c r="G50" s="28">
        <f t="shared" si="51"/>
        <v>-3.1803384699685244E-2</v>
      </c>
      <c r="H50" s="62">
        <v>1600</v>
      </c>
      <c r="I50" s="27">
        <f t="shared" si="52"/>
        <v>1920</v>
      </c>
      <c r="J50" s="27"/>
      <c r="K50" s="27"/>
      <c r="L50" s="27"/>
      <c r="M50" s="27"/>
      <c r="N50" s="27"/>
      <c r="O50" s="27"/>
      <c r="P50" s="27">
        <f>S50-50-30-100</f>
        <v>1900</v>
      </c>
      <c r="Q50" s="77">
        <f t="shared" si="53"/>
        <v>0.1875</v>
      </c>
      <c r="R50" s="28">
        <f t="shared" si="54"/>
        <v>0.51852211836494444</v>
      </c>
      <c r="S50" s="27">
        <f t="shared" si="55"/>
        <v>2080</v>
      </c>
      <c r="T50" s="27">
        <f t="shared" ref="T50:T58" si="60">E50*1.5</f>
        <v>1564.0206825286555</v>
      </c>
      <c r="U50" s="27">
        <f t="shared" ref="U50:U58" si="61">E50*1.2</f>
        <v>1251.2165460229244</v>
      </c>
      <c r="V50" s="29">
        <f t="shared" si="56"/>
        <v>118.75</v>
      </c>
      <c r="W50" s="30">
        <f t="shared" si="57"/>
        <v>119</v>
      </c>
      <c r="X50" s="30">
        <f t="shared" si="58"/>
        <v>19</v>
      </c>
      <c r="Y50" s="1">
        <f t="shared" si="59"/>
        <v>0.19</v>
      </c>
    </row>
    <row r="51" spans="1:25" s="43" customFormat="1" ht="15.75" customHeight="1" x14ac:dyDescent="0.2">
      <c r="A51" s="1">
        <v>38</v>
      </c>
      <c r="B51" s="24"/>
      <c r="C51" s="25" t="s">
        <v>35</v>
      </c>
      <c r="D51" s="26">
        <v>1300</v>
      </c>
      <c r="E51" s="56">
        <v>933.14881309574605</v>
      </c>
      <c r="F51" s="27">
        <v>870.02024819789028</v>
      </c>
      <c r="G51" s="28">
        <f t="shared" si="51"/>
        <v>7.2559880104648755E-2</v>
      </c>
      <c r="H51" s="62">
        <v>1300</v>
      </c>
      <c r="I51" s="27">
        <f t="shared" si="52"/>
        <v>1560</v>
      </c>
      <c r="J51" s="27"/>
      <c r="K51" s="27"/>
      <c r="L51" s="27"/>
      <c r="M51" s="27"/>
      <c r="N51" s="27"/>
      <c r="O51" s="27"/>
      <c r="P51" s="27">
        <f>S51-90-100</f>
        <v>1500</v>
      </c>
      <c r="Q51" s="77">
        <f t="shared" si="53"/>
        <v>0.15384615384615374</v>
      </c>
      <c r="R51" s="28">
        <f t="shared" si="54"/>
        <v>0.33955054376921057</v>
      </c>
      <c r="S51" s="27">
        <f t="shared" si="55"/>
        <v>1690</v>
      </c>
      <c r="T51" s="27">
        <f t="shared" si="60"/>
        <v>1399.7232196436191</v>
      </c>
      <c r="U51" s="27">
        <f t="shared" si="61"/>
        <v>1119.7785757148952</v>
      </c>
      <c r="V51" s="29">
        <f t="shared" si="56"/>
        <v>115.38461538461537</v>
      </c>
      <c r="W51" s="30">
        <f t="shared" si="57"/>
        <v>116</v>
      </c>
      <c r="X51" s="30">
        <f t="shared" si="58"/>
        <v>16</v>
      </c>
      <c r="Y51" s="1">
        <f t="shared" si="59"/>
        <v>0.16</v>
      </c>
    </row>
    <row r="52" spans="1:25" s="43" customFormat="1" ht="15.75" customHeight="1" x14ac:dyDescent="0.2">
      <c r="A52" s="1">
        <v>39</v>
      </c>
      <c r="B52" s="24"/>
      <c r="C52" s="25" t="s">
        <v>33</v>
      </c>
      <c r="D52" s="26">
        <v>1300</v>
      </c>
      <c r="E52" s="56">
        <v>885.67176916803089</v>
      </c>
      <c r="F52" s="27">
        <v>914.27915023513549</v>
      </c>
      <c r="G52" s="28">
        <f t="shared" si="51"/>
        <v>-3.1289547683272967E-2</v>
      </c>
      <c r="H52" s="62">
        <v>1300</v>
      </c>
      <c r="I52" s="27">
        <f t="shared" si="52"/>
        <v>1560</v>
      </c>
      <c r="J52" s="27"/>
      <c r="K52" s="27"/>
      <c r="L52" s="27"/>
      <c r="M52" s="27"/>
      <c r="N52" s="27"/>
      <c r="O52" s="27"/>
      <c r="P52" s="27">
        <f>S52-60-30-100</f>
        <v>1500</v>
      </c>
      <c r="Q52" s="77">
        <f t="shared" si="53"/>
        <v>0.15384615384615374</v>
      </c>
      <c r="R52" s="28">
        <f t="shared" si="54"/>
        <v>0.41135807137017188</v>
      </c>
      <c r="S52" s="27">
        <f t="shared" si="55"/>
        <v>1690</v>
      </c>
      <c r="T52" s="27">
        <f t="shared" si="60"/>
        <v>1328.5076537520463</v>
      </c>
      <c r="U52" s="27">
        <f t="shared" si="61"/>
        <v>1062.8061230016369</v>
      </c>
      <c r="V52" s="29">
        <f t="shared" si="56"/>
        <v>115.38461538461537</v>
      </c>
      <c r="W52" s="30">
        <f t="shared" si="57"/>
        <v>116</v>
      </c>
      <c r="X52" s="30">
        <f t="shared" si="58"/>
        <v>16</v>
      </c>
      <c r="Y52" s="1">
        <f t="shared" si="59"/>
        <v>0.16</v>
      </c>
    </row>
    <row r="53" spans="1:25" s="43" customFormat="1" ht="15.75" customHeight="1" x14ac:dyDescent="0.2">
      <c r="A53" s="1">
        <v>40</v>
      </c>
      <c r="B53" s="24"/>
      <c r="C53" s="25" t="s">
        <v>34</v>
      </c>
      <c r="D53" s="26">
        <v>1500</v>
      </c>
      <c r="E53" s="56">
        <v>1042.6804550191036</v>
      </c>
      <c r="F53" s="27">
        <v>1076.9304896771257</v>
      </c>
      <c r="G53" s="28">
        <f t="shared" si="51"/>
        <v>-3.1803384699685244E-2</v>
      </c>
      <c r="H53" s="62">
        <v>1500</v>
      </c>
      <c r="I53" s="27">
        <f t="shared" si="52"/>
        <v>1800</v>
      </c>
      <c r="J53" s="27"/>
      <c r="K53" s="27"/>
      <c r="L53" s="27"/>
      <c r="M53" s="27"/>
      <c r="N53" s="27"/>
      <c r="O53" s="27"/>
      <c r="P53" s="27">
        <f>D53*1.2-100</f>
        <v>1700</v>
      </c>
      <c r="Q53" s="77">
        <f t="shared" si="53"/>
        <v>0.1333333333333333</v>
      </c>
      <c r="R53" s="28">
        <f t="shared" si="54"/>
        <v>0.35867768485284501</v>
      </c>
      <c r="S53" s="27">
        <f t="shared" si="55"/>
        <v>1950</v>
      </c>
      <c r="T53" s="27">
        <f t="shared" si="60"/>
        <v>1564.0206825286555</v>
      </c>
      <c r="U53" s="27">
        <f t="shared" si="61"/>
        <v>1251.2165460229244</v>
      </c>
      <c r="V53" s="29">
        <f t="shared" si="56"/>
        <v>113.33333333333333</v>
      </c>
      <c r="W53" s="30">
        <f t="shared" si="57"/>
        <v>114</v>
      </c>
      <c r="X53" s="30">
        <f t="shared" si="58"/>
        <v>14</v>
      </c>
      <c r="Y53" s="1">
        <f t="shared" si="59"/>
        <v>0.14000000000000001</v>
      </c>
    </row>
    <row r="54" spans="1:25" s="43" customFormat="1" ht="15.75" customHeight="1" x14ac:dyDescent="0.2">
      <c r="A54" s="1">
        <v>41</v>
      </c>
      <c r="B54" s="24"/>
      <c r="C54" s="25" t="s">
        <v>97</v>
      </c>
      <c r="D54" s="26">
        <v>3250</v>
      </c>
      <c r="E54" s="56">
        <v>1267.4653530094818</v>
      </c>
      <c r="F54" s="27">
        <v>1072.3379682869165</v>
      </c>
      <c r="G54" s="28">
        <f t="shared" si="51"/>
        <v>0.18196444637159082</v>
      </c>
      <c r="H54" s="62">
        <v>3250</v>
      </c>
      <c r="I54" s="27">
        <f t="shared" si="52"/>
        <v>3900</v>
      </c>
      <c r="J54" s="27"/>
      <c r="K54" s="27"/>
      <c r="L54" s="27"/>
      <c r="M54" s="27">
        <v>3500</v>
      </c>
      <c r="N54" s="27"/>
      <c r="O54" s="27"/>
      <c r="P54" s="27">
        <f>M54</f>
        <v>3500</v>
      </c>
      <c r="Q54" s="77">
        <f t="shared" si="53"/>
        <v>7.6923076923076872E-2</v>
      </c>
      <c r="R54" s="28">
        <f t="shared" si="54"/>
        <v>1.3011805882829899</v>
      </c>
      <c r="S54" s="27">
        <f t="shared" si="55"/>
        <v>4225</v>
      </c>
      <c r="T54" s="27">
        <f t="shared" si="60"/>
        <v>1901.1980295142225</v>
      </c>
      <c r="U54" s="27">
        <f t="shared" si="61"/>
        <v>1520.9584236113781</v>
      </c>
      <c r="V54" s="29">
        <f t="shared" si="56"/>
        <v>107.69230769230769</v>
      </c>
      <c r="W54" s="30">
        <f t="shared" si="57"/>
        <v>108</v>
      </c>
      <c r="X54" s="30">
        <f t="shared" si="58"/>
        <v>8</v>
      </c>
      <c r="Y54" s="1">
        <f t="shared" si="59"/>
        <v>0.08</v>
      </c>
    </row>
    <row r="55" spans="1:25" s="43" customFormat="1" ht="15.75" customHeight="1" x14ac:dyDescent="0.2">
      <c r="A55" s="1">
        <v>42</v>
      </c>
      <c r="B55" s="24"/>
      <c r="C55" s="25" t="s">
        <v>98</v>
      </c>
      <c r="D55" s="26">
        <v>1450</v>
      </c>
      <c r="E55" s="56">
        <v>740.20270419800636</v>
      </c>
      <c r="F55" s="27">
        <v>645.51429366146408</v>
      </c>
      <c r="G55" s="28">
        <f t="shared" si="51"/>
        <v>0.14668677590306167</v>
      </c>
      <c r="H55" s="62">
        <v>1450</v>
      </c>
      <c r="I55" s="27">
        <f t="shared" si="52"/>
        <v>1740</v>
      </c>
      <c r="J55" s="27"/>
      <c r="K55" s="27"/>
      <c r="L55" s="27"/>
      <c r="M55" s="27"/>
      <c r="N55" s="27"/>
      <c r="O55" s="27"/>
      <c r="P55" s="27">
        <f>I55+10</f>
        <v>1750</v>
      </c>
      <c r="Q55" s="77">
        <f t="shared" si="53"/>
        <v>0.2068965517241379</v>
      </c>
      <c r="R55" s="28">
        <f t="shared" si="54"/>
        <v>0.97018103968345537</v>
      </c>
      <c r="S55" s="27">
        <f t="shared" si="55"/>
        <v>1885</v>
      </c>
      <c r="T55" s="27">
        <f t="shared" si="60"/>
        <v>1110.3040562970095</v>
      </c>
      <c r="U55" s="27">
        <f t="shared" si="61"/>
        <v>888.24324503760761</v>
      </c>
      <c r="V55" s="29">
        <f t="shared" si="56"/>
        <v>120.68965517241379</v>
      </c>
      <c r="W55" s="30">
        <f t="shared" si="57"/>
        <v>121</v>
      </c>
      <c r="X55" s="30">
        <f t="shared" si="58"/>
        <v>21</v>
      </c>
      <c r="Y55" s="1">
        <f t="shared" si="59"/>
        <v>0.21</v>
      </c>
    </row>
    <row r="56" spans="1:25" s="43" customFormat="1" ht="15.75" customHeight="1" x14ac:dyDescent="0.2">
      <c r="A56" s="1">
        <v>43</v>
      </c>
      <c r="B56" s="24"/>
      <c r="C56" s="25" t="s">
        <v>99</v>
      </c>
      <c r="D56" s="26">
        <v>2100</v>
      </c>
      <c r="E56" s="56">
        <v>1031.4917490107232</v>
      </c>
      <c r="F56" s="27">
        <v>956.94218321246422</v>
      </c>
      <c r="G56" s="28">
        <f t="shared" si="51"/>
        <v>7.7903939345630446E-2</v>
      </c>
      <c r="H56" s="62">
        <v>2100</v>
      </c>
      <c r="I56" s="27">
        <f t="shared" si="52"/>
        <v>2520</v>
      </c>
      <c r="J56" s="27"/>
      <c r="K56" s="27"/>
      <c r="L56" s="27"/>
      <c r="M56" s="27">
        <v>3300</v>
      </c>
      <c r="N56" s="27"/>
      <c r="O56" s="27"/>
      <c r="P56" s="27">
        <f>S56-130</f>
        <v>2600</v>
      </c>
      <c r="Q56" s="77">
        <f t="shared" si="53"/>
        <v>0.23809523809523814</v>
      </c>
      <c r="R56" s="28">
        <f t="shared" si="54"/>
        <v>1.1005176907567704</v>
      </c>
      <c r="S56" s="27">
        <f t="shared" si="55"/>
        <v>2730</v>
      </c>
      <c r="T56" s="27">
        <f t="shared" si="60"/>
        <v>1547.2376235160848</v>
      </c>
      <c r="U56" s="27">
        <f t="shared" si="61"/>
        <v>1237.7900988128679</v>
      </c>
      <c r="V56" s="29">
        <f t="shared" si="56"/>
        <v>123.80952380952381</v>
      </c>
      <c r="W56" s="30">
        <f t="shared" si="57"/>
        <v>124</v>
      </c>
      <c r="X56" s="30">
        <f t="shared" si="58"/>
        <v>24</v>
      </c>
      <c r="Y56" s="1">
        <f t="shared" si="59"/>
        <v>0.24</v>
      </c>
    </row>
    <row r="57" spans="1:25" s="43" customFormat="1" ht="15.75" customHeight="1" x14ac:dyDescent="0.2">
      <c r="A57" s="1">
        <v>44</v>
      </c>
      <c r="B57" s="24"/>
      <c r="C57" s="25" t="s">
        <v>100</v>
      </c>
      <c r="D57" s="26">
        <v>2300</v>
      </c>
      <c r="E57" s="56">
        <v>1406.9002801751139</v>
      </c>
      <c r="F57" s="27">
        <v>1630.469250749939</v>
      </c>
      <c r="G57" s="28">
        <f t="shared" si="51"/>
        <v>-0.13711940318530624</v>
      </c>
      <c r="H57" s="62">
        <v>2300</v>
      </c>
      <c r="I57" s="27">
        <f t="shared" si="52"/>
        <v>2760</v>
      </c>
      <c r="J57" s="27"/>
      <c r="K57" s="27"/>
      <c r="L57" s="27"/>
      <c r="M57" s="27"/>
      <c r="N57" s="27"/>
      <c r="O57" s="27"/>
      <c r="P57" s="27">
        <f>S57-140-50</f>
        <v>2800</v>
      </c>
      <c r="Q57" s="77">
        <f t="shared" si="53"/>
        <v>0.21739130434782616</v>
      </c>
      <c r="R57" s="28">
        <f t="shared" si="54"/>
        <v>0.65849233681502151</v>
      </c>
      <c r="S57" s="27">
        <f t="shared" si="55"/>
        <v>2990</v>
      </c>
      <c r="T57" s="27">
        <f t="shared" si="60"/>
        <v>2110.3504202626709</v>
      </c>
      <c r="U57" s="27">
        <f t="shared" si="61"/>
        <v>1688.2803362101367</v>
      </c>
      <c r="V57" s="29">
        <f t="shared" si="56"/>
        <v>121.73913043478262</v>
      </c>
      <c r="W57" s="30">
        <f t="shared" si="57"/>
        <v>122</v>
      </c>
      <c r="X57" s="30">
        <f t="shared" si="58"/>
        <v>22</v>
      </c>
      <c r="Y57" s="1">
        <f t="shared" si="59"/>
        <v>0.22</v>
      </c>
    </row>
    <row r="58" spans="1:25" s="43" customFormat="1" ht="15.75" customHeight="1" x14ac:dyDescent="0.2">
      <c r="A58" s="1">
        <v>45</v>
      </c>
      <c r="B58" s="24"/>
      <c r="C58" s="25" t="s">
        <v>101</v>
      </c>
      <c r="D58" s="26">
        <v>1950</v>
      </c>
      <c r="E58" s="56">
        <v>1181.2382128520492</v>
      </c>
      <c r="F58" s="27">
        <v>1005.0130440643463</v>
      </c>
      <c r="G58" s="28">
        <f t="shared" si="51"/>
        <v>0.17534615080719296</v>
      </c>
      <c r="H58" s="62">
        <v>1950</v>
      </c>
      <c r="I58" s="27">
        <f t="shared" si="52"/>
        <v>2340</v>
      </c>
      <c r="J58" s="27"/>
      <c r="K58" s="27">
        <v>2900</v>
      </c>
      <c r="L58" s="27"/>
      <c r="M58" s="27">
        <v>3300</v>
      </c>
      <c r="N58" s="27"/>
      <c r="O58" s="27">
        <v>3000</v>
      </c>
      <c r="P58" s="27">
        <f>S58-35</f>
        <v>2500</v>
      </c>
      <c r="Q58" s="77">
        <f t="shared" si="53"/>
        <v>0.28205128205128216</v>
      </c>
      <c r="R58" s="28">
        <f t="shared" si="54"/>
        <v>0.76368602934306873</v>
      </c>
      <c r="S58" s="27">
        <f t="shared" si="55"/>
        <v>2535</v>
      </c>
      <c r="T58" s="27">
        <f t="shared" si="60"/>
        <v>1771.8573192780736</v>
      </c>
      <c r="U58" s="27">
        <f t="shared" si="61"/>
        <v>1417.4858554224591</v>
      </c>
      <c r="V58" s="29">
        <f t="shared" si="56"/>
        <v>128.2051282051282</v>
      </c>
      <c r="W58" s="30">
        <f t="shared" si="57"/>
        <v>129</v>
      </c>
      <c r="X58" s="30">
        <f t="shared" si="58"/>
        <v>29</v>
      </c>
      <c r="Y58" s="1">
        <f t="shared" si="59"/>
        <v>0.28999999999999998</v>
      </c>
    </row>
    <row r="59" spans="1:25" s="43" customFormat="1" ht="15.75" customHeight="1" x14ac:dyDescent="0.2">
      <c r="A59" s="1">
        <v>46</v>
      </c>
      <c r="B59" s="24"/>
      <c r="C59" s="25" t="s">
        <v>102</v>
      </c>
      <c r="D59" s="26">
        <v>2400</v>
      </c>
      <c r="E59" s="51"/>
      <c r="F59" s="27"/>
      <c r="G59" s="28" t="b">
        <f t="shared" si="51"/>
        <v>0</v>
      </c>
      <c r="H59" s="62">
        <v>2400</v>
      </c>
      <c r="I59" s="27">
        <f t="shared" si="52"/>
        <v>2880</v>
      </c>
      <c r="J59" s="27"/>
      <c r="K59" s="27"/>
      <c r="L59" s="27"/>
      <c r="M59" s="27"/>
      <c r="N59" s="27"/>
      <c r="O59" s="27"/>
      <c r="P59" s="27">
        <f>S59-20-200</f>
        <v>2900</v>
      </c>
      <c r="Q59" s="77">
        <f t="shared" si="53"/>
        <v>0.20833333333333326</v>
      </c>
      <c r="R59" s="27"/>
      <c r="S59" s="27">
        <f t="shared" si="55"/>
        <v>3120</v>
      </c>
      <c r="T59" s="27"/>
      <c r="V59" s="29">
        <f t="shared" si="56"/>
        <v>120.83333333333333</v>
      </c>
      <c r="W59" s="30">
        <f t="shared" si="57"/>
        <v>121</v>
      </c>
      <c r="X59" s="30">
        <f t="shared" si="58"/>
        <v>21</v>
      </c>
      <c r="Y59" s="1">
        <f t="shared" si="59"/>
        <v>0.21</v>
      </c>
    </row>
    <row r="60" spans="1:25" s="43" customFormat="1" ht="15.75" customHeight="1" x14ac:dyDescent="0.2">
      <c r="A60" s="1">
        <v>47</v>
      </c>
      <c r="B60" s="278"/>
      <c r="C60" s="25" t="s">
        <v>103</v>
      </c>
      <c r="D60" s="26">
        <v>1800</v>
      </c>
      <c r="E60" s="51"/>
      <c r="F60" s="27"/>
      <c r="G60" s="28" t="b">
        <f t="shared" si="51"/>
        <v>0</v>
      </c>
      <c r="H60" s="62">
        <v>1800</v>
      </c>
      <c r="I60" s="27">
        <f t="shared" si="52"/>
        <v>2160</v>
      </c>
      <c r="J60" s="27"/>
      <c r="K60" s="27"/>
      <c r="L60" s="27"/>
      <c r="M60" s="27"/>
      <c r="N60" s="27"/>
      <c r="O60" s="27"/>
      <c r="P60" s="27">
        <f>S60-20-20</f>
        <v>2300</v>
      </c>
      <c r="Q60" s="77">
        <f t="shared" si="53"/>
        <v>0.27777777777777768</v>
      </c>
      <c r="R60" s="27"/>
      <c r="S60" s="27">
        <f t="shared" si="55"/>
        <v>2340</v>
      </c>
      <c r="T60" s="27"/>
      <c r="V60" s="29">
        <f t="shared" si="56"/>
        <v>127.77777777777777</v>
      </c>
      <c r="W60" s="30">
        <f t="shared" si="57"/>
        <v>128</v>
      </c>
      <c r="X60" s="30">
        <f t="shared" si="58"/>
        <v>28</v>
      </c>
      <c r="Y60" s="1">
        <f t="shared" si="59"/>
        <v>0.28000000000000003</v>
      </c>
    </row>
    <row r="61" spans="1:25" s="43" customFormat="1" ht="15.75" customHeight="1" x14ac:dyDescent="0.2">
      <c r="A61" s="1">
        <v>48</v>
      </c>
      <c r="B61" s="278"/>
      <c r="C61" s="25" t="s">
        <v>104</v>
      </c>
      <c r="D61" s="26">
        <v>400</v>
      </c>
      <c r="E61" s="51"/>
      <c r="F61" s="27"/>
      <c r="G61" s="28" t="b">
        <f t="shared" si="51"/>
        <v>0</v>
      </c>
      <c r="H61" s="62">
        <v>400</v>
      </c>
      <c r="I61" s="27"/>
      <c r="J61" s="27"/>
      <c r="K61" s="27"/>
      <c r="L61" s="27"/>
      <c r="M61" s="27"/>
      <c r="N61" s="27"/>
      <c r="O61" s="27"/>
      <c r="P61" s="27">
        <f>D61*1.2+40</f>
        <v>520</v>
      </c>
      <c r="Q61" s="77">
        <f t="shared" si="53"/>
        <v>0.30000000000000004</v>
      </c>
      <c r="R61" s="27"/>
      <c r="S61" s="27">
        <f t="shared" si="55"/>
        <v>520</v>
      </c>
      <c r="T61" s="27"/>
      <c r="V61" s="29">
        <f t="shared" si="56"/>
        <v>130</v>
      </c>
      <c r="W61" s="30">
        <f t="shared" si="57"/>
        <v>130</v>
      </c>
      <c r="X61" s="30">
        <f t="shared" si="58"/>
        <v>30</v>
      </c>
      <c r="Y61" s="1">
        <f t="shared" si="59"/>
        <v>0.3</v>
      </c>
    </row>
    <row r="62" spans="1:25" s="43" customFormat="1" ht="15.75" customHeight="1" x14ac:dyDescent="0.2">
      <c r="A62" s="1">
        <v>49</v>
      </c>
      <c r="B62" s="278"/>
      <c r="C62" s="25" t="s">
        <v>105</v>
      </c>
      <c r="D62" s="26">
        <v>600</v>
      </c>
      <c r="E62" s="51"/>
      <c r="F62" s="27"/>
      <c r="G62" s="28" t="b">
        <f t="shared" si="51"/>
        <v>0</v>
      </c>
      <c r="H62" s="62">
        <v>600</v>
      </c>
      <c r="I62" s="27"/>
      <c r="J62" s="27"/>
      <c r="K62" s="27"/>
      <c r="L62" s="27"/>
      <c r="M62" s="27"/>
      <c r="N62" s="27"/>
      <c r="O62" s="27"/>
      <c r="P62" s="27">
        <f>D62*1.2</f>
        <v>720</v>
      </c>
      <c r="Q62" s="77">
        <f t="shared" si="53"/>
        <v>0.19999999999999996</v>
      </c>
      <c r="R62" s="27"/>
      <c r="S62" s="27">
        <f t="shared" si="55"/>
        <v>780</v>
      </c>
      <c r="T62" s="27"/>
      <c r="V62" s="29">
        <f t="shared" si="56"/>
        <v>120</v>
      </c>
      <c r="W62" s="30">
        <f t="shared" si="57"/>
        <v>120</v>
      </c>
      <c r="X62" s="30">
        <f t="shared" si="58"/>
        <v>20</v>
      </c>
      <c r="Y62" s="1">
        <f t="shared" si="59"/>
        <v>0.2</v>
      </c>
    </row>
    <row r="63" spans="1:25" s="43" customFormat="1" ht="15.75" customHeight="1" x14ac:dyDescent="0.2">
      <c r="A63" s="1">
        <v>50</v>
      </c>
      <c r="B63" s="278"/>
      <c r="C63" s="25" t="s">
        <v>106</v>
      </c>
      <c r="D63" s="26">
        <v>750</v>
      </c>
      <c r="E63" s="51"/>
      <c r="F63" s="27"/>
      <c r="G63" s="28" t="b">
        <f t="shared" si="51"/>
        <v>0</v>
      </c>
      <c r="H63" s="62">
        <v>750</v>
      </c>
      <c r="I63" s="27"/>
      <c r="J63" s="27"/>
      <c r="K63" s="27"/>
      <c r="L63" s="27"/>
      <c r="M63" s="27"/>
      <c r="N63" s="27"/>
      <c r="O63" s="27"/>
      <c r="P63" s="27">
        <f>D63*1.2+30</f>
        <v>930</v>
      </c>
      <c r="Q63" s="77">
        <f t="shared" si="53"/>
        <v>0.24</v>
      </c>
      <c r="R63" s="27"/>
      <c r="S63" s="27">
        <f t="shared" si="55"/>
        <v>975</v>
      </c>
      <c r="T63" s="27"/>
      <c r="V63" s="29">
        <f t="shared" si="56"/>
        <v>124</v>
      </c>
      <c r="W63" s="30">
        <f t="shared" si="57"/>
        <v>124</v>
      </c>
      <c r="X63" s="30">
        <f t="shared" si="58"/>
        <v>24</v>
      </c>
      <c r="Y63" s="1">
        <f t="shared" si="59"/>
        <v>0.24</v>
      </c>
    </row>
    <row r="64" spans="1:25" ht="15.75" customHeight="1" x14ac:dyDescent="0.2">
      <c r="A64" s="1">
        <v>51</v>
      </c>
      <c r="B64" s="32"/>
      <c r="C64" s="33" t="s">
        <v>107</v>
      </c>
      <c r="D64" s="34">
        <v>3900</v>
      </c>
      <c r="E64" s="56">
        <v>1622.2160157515852</v>
      </c>
      <c r="F64" s="35">
        <v>1466.2281267999581</v>
      </c>
      <c r="G64" s="28">
        <f t="shared" si="51"/>
        <v>0.10638718907409772</v>
      </c>
      <c r="H64" s="63">
        <v>3900</v>
      </c>
      <c r="I64" s="27">
        <f t="shared" ref="I64:I67" si="62">H64*1.2</f>
        <v>4680</v>
      </c>
      <c r="J64" s="27"/>
      <c r="K64" s="27"/>
      <c r="L64" s="27"/>
      <c r="M64" s="27"/>
      <c r="N64" s="27"/>
      <c r="O64" s="27"/>
      <c r="P64" s="27">
        <f>I64-60-20-100</f>
        <v>4500</v>
      </c>
      <c r="Q64" s="77">
        <f t="shared" si="53"/>
        <v>0.15384615384615374</v>
      </c>
      <c r="R64" s="28">
        <f t="shared" ref="R64:R67" si="63">IFERROR(P64/U64-1,FALSE)</f>
        <v>1.3116526797835837</v>
      </c>
      <c r="S64" s="27">
        <f t="shared" si="55"/>
        <v>5070</v>
      </c>
      <c r="T64" s="27">
        <f>E64*1.5</f>
        <v>2433.3240236273778</v>
      </c>
      <c r="U64" s="27">
        <f>E64*1.2</f>
        <v>1946.6592189019022</v>
      </c>
      <c r="V64" s="29">
        <f t="shared" si="56"/>
        <v>115.38461538461537</v>
      </c>
      <c r="W64" s="30">
        <f t="shared" si="57"/>
        <v>116</v>
      </c>
      <c r="X64" s="30">
        <f t="shared" si="58"/>
        <v>16</v>
      </c>
      <c r="Y64" s="1">
        <f t="shared" si="59"/>
        <v>0.16</v>
      </c>
    </row>
    <row r="65" spans="1:27" ht="15.75" customHeight="1" x14ac:dyDescent="0.2">
      <c r="A65" s="1">
        <v>52</v>
      </c>
      <c r="B65" s="32"/>
      <c r="C65" s="33" t="s">
        <v>31</v>
      </c>
      <c r="D65" s="34">
        <v>1700</v>
      </c>
      <c r="E65" s="56">
        <v>1011.3354861673247</v>
      </c>
      <c r="F65" s="35">
        <v>1094.9238002456184</v>
      </c>
      <c r="G65" s="28">
        <f t="shared" si="51"/>
        <v>-7.63416724155076E-2</v>
      </c>
      <c r="H65" s="63">
        <v>1700</v>
      </c>
      <c r="I65" s="27">
        <f t="shared" si="62"/>
        <v>2040</v>
      </c>
      <c r="J65" s="27"/>
      <c r="K65" s="27"/>
      <c r="L65" s="27"/>
      <c r="M65" s="27"/>
      <c r="N65" s="27"/>
      <c r="O65" s="27"/>
      <c r="P65" s="27">
        <f>S65+10-120-50</f>
        <v>2050</v>
      </c>
      <c r="Q65" s="77">
        <f t="shared" si="53"/>
        <v>0.20588235294117641</v>
      </c>
      <c r="R65" s="28">
        <f t="shared" si="63"/>
        <v>0.68918559340524399</v>
      </c>
      <c r="S65" s="27">
        <f t="shared" si="55"/>
        <v>2210</v>
      </c>
      <c r="T65" s="27">
        <f>E65*1.5</f>
        <v>1517.003229250987</v>
      </c>
      <c r="U65" s="27">
        <f>E65*1.2</f>
        <v>1213.6025834007896</v>
      </c>
      <c r="V65" s="29">
        <f t="shared" si="56"/>
        <v>120.58823529411764</v>
      </c>
      <c r="W65" s="30">
        <f t="shared" si="57"/>
        <v>121</v>
      </c>
      <c r="X65" s="30">
        <f t="shared" si="58"/>
        <v>21</v>
      </c>
      <c r="Y65" s="1">
        <f t="shared" si="59"/>
        <v>0.21</v>
      </c>
    </row>
    <row r="66" spans="1:27" ht="15.75" customHeight="1" x14ac:dyDescent="0.2">
      <c r="A66" s="1">
        <v>53</v>
      </c>
      <c r="B66" s="32"/>
      <c r="C66" s="33" t="s">
        <v>11</v>
      </c>
      <c r="D66" s="34">
        <v>1800</v>
      </c>
      <c r="E66" s="56">
        <v>1236.9526700818251</v>
      </c>
      <c r="F66" s="35">
        <v>932.59090318098106</v>
      </c>
      <c r="G66" s="28">
        <f t="shared" si="51"/>
        <v>0.32636150091395311</v>
      </c>
      <c r="H66" s="63">
        <v>1800</v>
      </c>
      <c r="I66" s="27">
        <f t="shared" si="62"/>
        <v>2160</v>
      </c>
      <c r="J66" s="27"/>
      <c r="K66" s="27">
        <v>4000</v>
      </c>
      <c r="L66" s="27"/>
      <c r="M66" s="27"/>
      <c r="N66" s="27"/>
      <c r="O66" s="27"/>
      <c r="P66" s="27">
        <f>S66+10-150-50</f>
        <v>2150</v>
      </c>
      <c r="Q66" s="77">
        <f t="shared" si="53"/>
        <v>0.19444444444444442</v>
      </c>
      <c r="R66" s="28">
        <f t="shared" si="63"/>
        <v>0.44845207905016049</v>
      </c>
      <c r="S66" s="27">
        <f t="shared" si="55"/>
        <v>2340</v>
      </c>
      <c r="T66" s="27">
        <f>E66*1.5</f>
        <v>1855.4290051227376</v>
      </c>
      <c r="U66" s="27">
        <f>E66*1.2</f>
        <v>1484.34320409819</v>
      </c>
      <c r="V66" s="29">
        <f t="shared" si="56"/>
        <v>119.44444444444444</v>
      </c>
      <c r="W66" s="30">
        <f t="shared" si="57"/>
        <v>120</v>
      </c>
      <c r="X66" s="30">
        <f t="shared" si="58"/>
        <v>20</v>
      </c>
      <c r="Y66" s="1">
        <f t="shared" si="59"/>
        <v>0.2</v>
      </c>
    </row>
    <row r="67" spans="1:27" ht="15.75" customHeight="1" thickBot="1" x14ac:dyDescent="0.25">
      <c r="A67" s="1">
        <v>54</v>
      </c>
      <c r="B67" s="38"/>
      <c r="C67" s="39" t="s">
        <v>108</v>
      </c>
      <c r="D67" s="44">
        <v>1200</v>
      </c>
      <c r="E67" s="56">
        <v>1011.5045966286423</v>
      </c>
      <c r="F67" s="27">
        <v>991.81642793528431</v>
      </c>
      <c r="G67" s="28">
        <f t="shared" si="51"/>
        <v>1.9850617653454083E-2</v>
      </c>
      <c r="H67" s="62">
        <v>1200</v>
      </c>
      <c r="I67" s="27">
        <f t="shared" si="62"/>
        <v>1440</v>
      </c>
      <c r="J67" s="27"/>
      <c r="K67" s="27"/>
      <c r="L67" s="27"/>
      <c r="M67" s="27"/>
      <c r="N67" s="27"/>
      <c r="O67" s="27"/>
      <c r="P67" s="27">
        <f>I67+160-50-100</f>
        <v>1450</v>
      </c>
      <c r="Q67" s="77">
        <f t="shared" si="53"/>
        <v>0.20833333333333326</v>
      </c>
      <c r="R67" s="28">
        <f t="shared" si="63"/>
        <v>0.19459005659561379</v>
      </c>
      <c r="S67" s="27">
        <f t="shared" si="55"/>
        <v>1560</v>
      </c>
      <c r="T67" s="27">
        <f>E67*1.5</f>
        <v>1517.2568949429633</v>
      </c>
      <c r="U67" s="27">
        <f>E67*1.2</f>
        <v>1213.8055159543708</v>
      </c>
      <c r="V67" s="29">
        <f t="shared" si="56"/>
        <v>120.83333333333333</v>
      </c>
      <c r="W67" s="30">
        <f t="shared" si="57"/>
        <v>121</v>
      </c>
      <c r="X67" s="30">
        <f t="shared" si="58"/>
        <v>21</v>
      </c>
      <c r="Y67" s="1">
        <f t="shared" si="59"/>
        <v>0.21</v>
      </c>
    </row>
    <row r="68" spans="1:27" ht="15.75" customHeight="1" x14ac:dyDescent="0.2">
      <c r="A68" s="1">
        <v>55</v>
      </c>
      <c r="B68" s="14"/>
      <c r="C68" s="15" t="s">
        <v>109</v>
      </c>
      <c r="D68" s="16"/>
      <c r="E68" s="52"/>
      <c r="F68" s="17"/>
      <c r="G68" s="17"/>
      <c r="H68" s="65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27" ht="15.75" customHeight="1" x14ac:dyDescent="0.2">
      <c r="A69" s="1">
        <v>56</v>
      </c>
      <c r="B69" s="40"/>
      <c r="C69" s="19" t="s">
        <v>419</v>
      </c>
      <c r="D69" s="41"/>
      <c r="E69" s="59" t="e">
        <f>#REF!</f>
        <v>#REF!</v>
      </c>
      <c r="F69" s="21" t="e">
        <f>#REF!</f>
        <v>#REF!</v>
      </c>
      <c r="G69" s="22">
        <f>IFERROR(E69/F69-100%, )</f>
        <v>0</v>
      </c>
      <c r="H69" s="6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</row>
    <row r="70" spans="1:27" ht="15.75" customHeight="1" x14ac:dyDescent="0.2">
      <c r="A70" s="1">
        <v>57</v>
      </c>
      <c r="B70" s="32" t="s">
        <v>110</v>
      </c>
      <c r="C70" s="33" t="s">
        <v>418</v>
      </c>
      <c r="D70" s="34">
        <v>750</v>
      </c>
      <c r="E70" s="60">
        <v>672.18041011011303</v>
      </c>
      <c r="F70" s="35">
        <v>575.7928486980328</v>
      </c>
      <c r="G70" s="28">
        <f t="shared" ref="G70:G71" si="64">IFERROR(E70/F70-100%,FALSE)</f>
        <v>0.16739971958670408</v>
      </c>
      <c r="H70" s="63">
        <v>750</v>
      </c>
      <c r="I70" s="27">
        <f t="shared" ref="I70:I71" si="65">H70*1.2</f>
        <v>900</v>
      </c>
      <c r="J70" s="27"/>
      <c r="K70" s="27"/>
      <c r="L70" s="27">
        <v>800</v>
      </c>
      <c r="M70" s="27"/>
      <c r="N70" s="27"/>
      <c r="O70" s="27"/>
      <c r="P70" s="27">
        <f>S70-55-40</f>
        <v>880</v>
      </c>
      <c r="Q70" s="77">
        <f t="shared" ref="Q70:Q71" si="66">P70/D70-1</f>
        <v>0.17333333333333334</v>
      </c>
      <c r="R70" s="28">
        <f t="shared" ref="R70:R71" si="67">IFERROR(P70/U70-1,FALSE)</f>
        <v>9.0976949496642812E-2</v>
      </c>
      <c r="S70" s="27">
        <f>D70*1.3</f>
        <v>975</v>
      </c>
      <c r="T70" s="27">
        <f>E70*1.5</f>
        <v>1008.2706151651696</v>
      </c>
      <c r="U70" s="27">
        <f>E70*1.2</f>
        <v>806.61649213213559</v>
      </c>
      <c r="V70" s="29">
        <f>P70/D70*100</f>
        <v>117.33333333333333</v>
      </c>
      <c r="W70" s="30">
        <f t="shared" ref="W70:W71" si="68">ROUNDUP(V70,0)</f>
        <v>118</v>
      </c>
      <c r="X70" s="30">
        <f t="shared" ref="X70:X71" si="69">W70-100</f>
        <v>18</v>
      </c>
      <c r="Y70" s="1">
        <f t="shared" ref="Y70:Y71" si="70">X70/100</f>
        <v>0.18</v>
      </c>
    </row>
    <row r="71" spans="1:27" ht="15.75" customHeight="1" x14ac:dyDescent="0.2">
      <c r="A71" s="1">
        <v>58</v>
      </c>
      <c r="B71" s="32"/>
      <c r="C71" s="33" t="s">
        <v>112</v>
      </c>
      <c r="D71" s="34">
        <v>780</v>
      </c>
      <c r="E71" s="56">
        <v>648.42843952620603</v>
      </c>
      <c r="F71" s="35">
        <v>565.92457481180998</v>
      </c>
      <c r="G71" s="28">
        <f t="shared" si="64"/>
        <v>0.14578597287780193</v>
      </c>
      <c r="H71" s="63">
        <v>780</v>
      </c>
      <c r="I71" s="27">
        <f t="shared" si="65"/>
        <v>936</v>
      </c>
      <c r="J71" s="27"/>
      <c r="K71" s="27"/>
      <c r="L71" s="27">
        <v>800</v>
      </c>
      <c r="M71" s="27"/>
      <c r="N71" s="27"/>
      <c r="O71" s="27"/>
      <c r="P71" s="27">
        <f>S71-55-40</f>
        <v>919</v>
      </c>
      <c r="Q71" s="77">
        <f t="shared" si="66"/>
        <v>0.17820512820512824</v>
      </c>
      <c r="R71" s="28">
        <f t="shared" si="67"/>
        <v>0.18106067940652459</v>
      </c>
      <c r="S71" s="27">
        <f>D71*1.3</f>
        <v>1014</v>
      </c>
      <c r="T71" s="27">
        <f>E71*1.5</f>
        <v>972.64265928930899</v>
      </c>
      <c r="U71" s="27">
        <f>E71*1.2</f>
        <v>778.11412743144717</v>
      </c>
      <c r="V71" s="29">
        <f>P71/D71*100</f>
        <v>117.82051282051282</v>
      </c>
      <c r="W71" s="30">
        <f t="shared" si="68"/>
        <v>118</v>
      </c>
      <c r="X71" s="30">
        <f t="shared" si="69"/>
        <v>18</v>
      </c>
      <c r="Y71" s="1">
        <f t="shared" si="70"/>
        <v>0.18</v>
      </c>
    </row>
    <row r="72" spans="1:27" ht="15.75" customHeight="1" x14ac:dyDescent="0.2">
      <c r="A72" s="1">
        <v>59</v>
      </c>
      <c r="B72" s="40"/>
      <c r="C72" s="19" t="s">
        <v>49</v>
      </c>
      <c r="D72" s="41"/>
      <c r="E72" s="59" t="e">
        <f>#REF!</f>
        <v>#REF!</v>
      </c>
      <c r="F72" s="21" t="e">
        <f>#REF!</f>
        <v>#REF!</v>
      </c>
      <c r="G72" s="22">
        <f>IFERROR(E72/F72-100%, )</f>
        <v>0</v>
      </c>
      <c r="H72" s="64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</row>
    <row r="73" spans="1:27" s="43" customFormat="1" ht="15.75" customHeight="1" x14ac:dyDescent="0.2">
      <c r="A73" s="1">
        <v>60</v>
      </c>
      <c r="B73" s="24" t="s">
        <v>113</v>
      </c>
      <c r="C73" s="45" t="s">
        <v>5</v>
      </c>
      <c r="D73" s="26">
        <v>900</v>
      </c>
      <c r="E73" s="56">
        <v>777.62259605863801</v>
      </c>
      <c r="F73" s="27">
        <v>703.05260270106055</v>
      </c>
      <c r="G73" s="28">
        <f t="shared" ref="G73:G77" si="71">IFERROR(E73/F73-100%,FALSE)</f>
        <v>0.10606602275716881</v>
      </c>
      <c r="H73" s="62">
        <v>900</v>
      </c>
      <c r="I73" s="27">
        <f t="shared" ref="I73:I77" si="72">H73*1.2</f>
        <v>1080</v>
      </c>
      <c r="J73" s="27"/>
      <c r="K73" s="27"/>
      <c r="L73" s="27">
        <v>1200</v>
      </c>
      <c r="M73" s="27"/>
      <c r="N73" s="27">
        <v>1300</v>
      </c>
      <c r="O73" s="27"/>
      <c r="P73" s="27">
        <f>S73-30</f>
        <v>1140</v>
      </c>
      <c r="Q73" s="77">
        <f t="shared" ref="Q73:Q105" si="73">P73/D73-1</f>
        <v>0.26666666666666661</v>
      </c>
      <c r="R73" s="28">
        <f t="shared" ref="R73:R96" si="74">IFERROR(P73/U73-1,FALSE)</f>
        <v>0.22167231869939585</v>
      </c>
      <c r="S73" s="27">
        <f>D73*1.3</f>
        <v>1170</v>
      </c>
      <c r="T73" s="27">
        <f>E73*1.5</f>
        <v>1166.433894087957</v>
      </c>
      <c r="U73" s="27">
        <f>E73*1.2</f>
        <v>933.14711527036559</v>
      </c>
      <c r="V73" s="29">
        <f>P73/D73*100</f>
        <v>126.66666666666666</v>
      </c>
      <c r="W73" s="30">
        <f t="shared" ref="W73:W76" si="75">ROUNDUP(V73,0)</f>
        <v>127</v>
      </c>
      <c r="X73" s="30">
        <f t="shared" ref="X73:X76" si="76">W73-100</f>
        <v>27</v>
      </c>
      <c r="Y73" s="1">
        <f t="shared" ref="Y73:Y76" si="77">X73/100</f>
        <v>0.27</v>
      </c>
      <c r="AA73" s="31">
        <f t="shared" ref="AA73:AA76" si="78">P73*12</f>
        <v>13680</v>
      </c>
    </row>
    <row r="74" spans="1:27" s="43" customFormat="1" ht="15.75" customHeight="1" x14ac:dyDescent="0.2">
      <c r="A74" s="1">
        <v>61</v>
      </c>
      <c r="B74" s="24"/>
      <c r="C74" s="25" t="s">
        <v>421</v>
      </c>
      <c r="D74" s="26">
        <v>900</v>
      </c>
      <c r="E74" s="56">
        <v>997.00378650464643</v>
      </c>
      <c r="F74" s="27">
        <v>820.64183433832886</v>
      </c>
      <c r="G74" s="28">
        <f t="shared" si="71"/>
        <v>0.21490733811848073</v>
      </c>
      <c r="H74" s="62">
        <v>900</v>
      </c>
      <c r="I74" s="27">
        <f t="shared" si="72"/>
        <v>1080</v>
      </c>
      <c r="J74" s="27"/>
      <c r="K74" s="27"/>
      <c r="L74" s="27">
        <v>1200</v>
      </c>
      <c r="M74" s="27"/>
      <c r="N74" s="27">
        <v>1300</v>
      </c>
      <c r="O74" s="27"/>
      <c r="P74" s="27">
        <f>S74-30</f>
        <v>1140</v>
      </c>
      <c r="Q74" s="77">
        <f t="shared" si="73"/>
        <v>0.26666666666666661</v>
      </c>
      <c r="R74" s="28">
        <f t="shared" si="74"/>
        <v>-4.7145043119078855E-2</v>
      </c>
      <c r="S74" s="27">
        <f>D74*1.3</f>
        <v>1170</v>
      </c>
      <c r="T74" s="27">
        <f>E74*1.5</f>
        <v>1495.5056797569696</v>
      </c>
      <c r="U74" s="27">
        <f>E74*1.2</f>
        <v>1196.4045438055757</v>
      </c>
      <c r="V74" s="29">
        <f>P74/D74*100</f>
        <v>126.66666666666666</v>
      </c>
      <c r="W74" s="30">
        <f t="shared" si="75"/>
        <v>127</v>
      </c>
      <c r="X74" s="30">
        <f t="shared" si="76"/>
        <v>27</v>
      </c>
      <c r="Y74" s="1">
        <f t="shared" si="77"/>
        <v>0.27</v>
      </c>
      <c r="AA74" s="31">
        <f t="shared" si="78"/>
        <v>13680</v>
      </c>
    </row>
    <row r="75" spans="1:27" s="43" customFormat="1" ht="15.75" customHeight="1" x14ac:dyDescent="0.2">
      <c r="A75" s="1">
        <v>62</v>
      </c>
      <c r="B75" s="24"/>
      <c r="C75" s="25" t="s">
        <v>114</v>
      </c>
      <c r="D75" s="26">
        <v>900</v>
      </c>
      <c r="E75" s="56">
        <v>818.69954992709177</v>
      </c>
      <c r="F75" s="27">
        <v>794.94561222937466</v>
      </c>
      <c r="G75" s="28">
        <f t="shared" si="71"/>
        <v>2.9881211157453569E-2</v>
      </c>
      <c r="H75" s="62">
        <v>900</v>
      </c>
      <c r="I75" s="27">
        <f t="shared" si="72"/>
        <v>1080</v>
      </c>
      <c r="J75" s="27"/>
      <c r="K75" s="27"/>
      <c r="L75" s="27">
        <v>1200</v>
      </c>
      <c r="M75" s="27"/>
      <c r="N75" s="27">
        <v>1300</v>
      </c>
      <c r="O75" s="27"/>
      <c r="P75" s="27">
        <f>S75-30</f>
        <v>1140</v>
      </c>
      <c r="Q75" s="77">
        <f t="shared" si="73"/>
        <v>0.26666666666666661</v>
      </c>
      <c r="R75" s="28">
        <f t="shared" si="74"/>
        <v>0.16037684408718822</v>
      </c>
      <c r="S75" s="27">
        <f>D75*1.3</f>
        <v>1170</v>
      </c>
      <c r="T75" s="27">
        <f>E75*1.5</f>
        <v>1228.0493248906378</v>
      </c>
      <c r="U75" s="27">
        <f>E75*1.2</f>
        <v>982.43945991251007</v>
      </c>
      <c r="V75" s="29">
        <f>P75/D75*100</f>
        <v>126.66666666666666</v>
      </c>
      <c r="W75" s="30">
        <f t="shared" si="75"/>
        <v>127</v>
      </c>
      <c r="X75" s="30">
        <f t="shared" si="76"/>
        <v>27</v>
      </c>
      <c r="Y75" s="1">
        <f t="shared" si="77"/>
        <v>0.27</v>
      </c>
      <c r="AA75" s="31">
        <f t="shared" si="78"/>
        <v>13680</v>
      </c>
    </row>
    <row r="76" spans="1:27" s="43" customFormat="1" ht="15.75" customHeight="1" x14ac:dyDescent="0.2">
      <c r="A76" s="1">
        <v>63</v>
      </c>
      <c r="B76" s="24"/>
      <c r="C76" s="25" t="s">
        <v>9</v>
      </c>
      <c r="D76" s="26">
        <v>1500</v>
      </c>
      <c r="E76" s="56">
        <v>1018.6770514109102</v>
      </c>
      <c r="F76" s="27">
        <v>1459.6977176121279</v>
      </c>
      <c r="G76" s="28">
        <f t="shared" si="71"/>
        <v>-0.30213150358463881</v>
      </c>
      <c r="H76" s="62">
        <v>1500</v>
      </c>
      <c r="I76" s="27">
        <f t="shared" si="72"/>
        <v>1800</v>
      </c>
      <c r="J76" s="27"/>
      <c r="K76" s="27"/>
      <c r="L76" s="27"/>
      <c r="M76" s="27"/>
      <c r="N76" s="27"/>
      <c r="O76" s="27"/>
      <c r="P76" s="27">
        <f>S76-150-50</f>
        <v>1750</v>
      </c>
      <c r="Q76" s="77">
        <f t="shared" si="73"/>
        <v>0.16666666666666674</v>
      </c>
      <c r="R76" s="28">
        <f t="shared" si="74"/>
        <v>0.43159535331976007</v>
      </c>
      <c r="S76" s="27">
        <f>D76*1.3</f>
        <v>1950</v>
      </c>
      <c r="T76" s="27">
        <f>E76*1.5</f>
        <v>1528.0155771163652</v>
      </c>
      <c r="U76" s="27">
        <f>E76*1.2</f>
        <v>1222.4124616930922</v>
      </c>
      <c r="V76" s="29">
        <f>P76/D76*100</f>
        <v>116.66666666666667</v>
      </c>
      <c r="W76" s="30">
        <f t="shared" si="75"/>
        <v>117</v>
      </c>
      <c r="X76" s="30">
        <f t="shared" si="76"/>
        <v>17</v>
      </c>
      <c r="Y76" s="1">
        <f t="shared" si="77"/>
        <v>0.17</v>
      </c>
      <c r="AA76" s="31">
        <f t="shared" si="78"/>
        <v>21000</v>
      </c>
    </row>
    <row r="77" spans="1:27" s="43" customFormat="1" ht="15.75" customHeight="1" x14ac:dyDescent="0.2">
      <c r="A77" s="1">
        <v>64</v>
      </c>
      <c r="B77" s="24"/>
      <c r="C77" s="25" t="s">
        <v>13</v>
      </c>
      <c r="D77" s="26">
        <v>950</v>
      </c>
      <c r="E77" s="56">
        <v>958.72352014882847</v>
      </c>
      <c r="F77" s="27">
        <v>875.51735486492771</v>
      </c>
      <c r="G77" s="28">
        <f t="shared" si="71"/>
        <v>9.5036568745958894E-2</v>
      </c>
      <c r="H77" s="62">
        <v>950</v>
      </c>
      <c r="I77" s="27">
        <f t="shared" si="72"/>
        <v>1140</v>
      </c>
      <c r="J77" s="27"/>
      <c r="K77" s="27"/>
      <c r="L77" s="27">
        <v>1200</v>
      </c>
      <c r="M77" s="27"/>
      <c r="N77" s="27">
        <v>1300</v>
      </c>
      <c r="O77" s="27"/>
      <c r="P77" s="27">
        <f>S77-15-30</f>
        <v>1190</v>
      </c>
      <c r="Q77" s="77">
        <f t="shared" si="73"/>
        <v>0.25263157894736832</v>
      </c>
      <c r="R77" s="28">
        <f t="shared" si="74"/>
        <v>3.4361466914595296E-2</v>
      </c>
      <c r="S77" s="27">
        <f>D77*1.3</f>
        <v>1235</v>
      </c>
      <c r="T77" s="27">
        <f>E77*1.5</f>
        <v>1438.0852802232428</v>
      </c>
      <c r="U77" s="27">
        <f>E77*1.2</f>
        <v>1150.468224178594</v>
      </c>
      <c r="V77" s="29">
        <f>P77/D77*100</f>
        <v>125.26315789473684</v>
      </c>
    </row>
    <row r="78" spans="1:27" ht="15.75" customHeight="1" x14ac:dyDescent="0.2">
      <c r="A78" s="1">
        <v>65</v>
      </c>
      <c r="B78" s="40"/>
      <c r="C78" s="19" t="s">
        <v>50</v>
      </c>
      <c r="D78" s="41"/>
      <c r="E78" s="61" t="e">
        <f>#REF!</f>
        <v>#REF!</v>
      </c>
      <c r="F78" s="46" t="e">
        <f>#REF!</f>
        <v>#REF!</v>
      </c>
      <c r="G78" s="22">
        <f>IFERROR(E78/F78-100%, )</f>
        <v>0</v>
      </c>
      <c r="H78" s="64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</row>
    <row r="79" spans="1:27" ht="15.75" customHeight="1" x14ac:dyDescent="0.2">
      <c r="A79" s="1">
        <v>66</v>
      </c>
      <c r="B79" s="32" t="s">
        <v>115</v>
      </c>
      <c r="C79" s="33" t="s">
        <v>423</v>
      </c>
      <c r="D79" s="26">
        <v>1600</v>
      </c>
      <c r="E79" s="56">
        <v>837.98751536742645</v>
      </c>
      <c r="F79" s="27">
        <v>874.326398538597</v>
      </c>
      <c r="G79" s="28">
        <f t="shared" ref="G79:G84" si="79">IFERROR(E79/F79-100%,FALSE)</f>
        <v>-4.1562147994055332E-2</v>
      </c>
      <c r="H79" s="62">
        <v>1600</v>
      </c>
      <c r="I79" s="27">
        <f t="shared" ref="I79:I84" si="80">H79*1.2</f>
        <v>1920</v>
      </c>
      <c r="J79" s="27"/>
      <c r="K79" s="27"/>
      <c r="L79" s="27"/>
      <c r="M79" s="27">
        <v>2300</v>
      </c>
      <c r="N79" s="27"/>
      <c r="O79" s="27"/>
      <c r="P79" s="27">
        <f>S79-30</f>
        <v>2050</v>
      </c>
      <c r="Q79" s="77">
        <f t="shared" si="73"/>
        <v>0.28125</v>
      </c>
      <c r="R79" s="28">
        <f t="shared" si="74"/>
        <v>1.0386143015320375</v>
      </c>
      <c r="S79" s="27">
        <f t="shared" ref="S79:S84" si="81">D79*1.3</f>
        <v>2080</v>
      </c>
      <c r="T79" s="27">
        <f t="shared" ref="T79:T84" si="82">E79*1.5</f>
        <v>1256.9812730511396</v>
      </c>
      <c r="U79" s="27">
        <f t="shared" ref="U79:U84" si="83">E79*1.2</f>
        <v>1005.5850184409117</v>
      </c>
      <c r="V79" s="29">
        <f t="shared" ref="V79:V84" si="84">P79/D79*100</f>
        <v>128.125</v>
      </c>
      <c r="W79" s="30">
        <f t="shared" ref="W79:W84" si="85">ROUNDUP(V79,0)</f>
        <v>129</v>
      </c>
      <c r="X79" s="30">
        <f t="shared" ref="X79:X84" si="86">W79-100</f>
        <v>29</v>
      </c>
      <c r="Y79" s="1">
        <f t="shared" ref="Y79:Y84" si="87">X79/100</f>
        <v>0.28999999999999998</v>
      </c>
    </row>
    <row r="80" spans="1:27" ht="15.75" customHeight="1" x14ac:dyDescent="0.2">
      <c r="A80" s="1">
        <v>67</v>
      </c>
      <c r="B80" s="32"/>
      <c r="C80" s="33" t="s">
        <v>117</v>
      </c>
      <c r="D80" s="26">
        <v>1600</v>
      </c>
      <c r="E80" s="56">
        <v>973.55043864190679</v>
      </c>
      <c r="F80" s="27">
        <v>779.1548772122469</v>
      </c>
      <c r="G80" s="28">
        <f t="shared" si="79"/>
        <v>0.24949540472003662</v>
      </c>
      <c r="H80" s="62">
        <v>1600</v>
      </c>
      <c r="I80" s="27">
        <f t="shared" si="80"/>
        <v>1920</v>
      </c>
      <c r="J80" s="27"/>
      <c r="K80" s="27"/>
      <c r="L80" s="27"/>
      <c r="M80" s="27">
        <v>2300</v>
      </c>
      <c r="N80" s="27"/>
      <c r="O80" s="27"/>
      <c r="P80" s="27">
        <f t="shared" ref="P80:P84" si="88">S80-30</f>
        <v>2050</v>
      </c>
      <c r="Q80" s="77">
        <f t="shared" si="73"/>
        <v>0.28125</v>
      </c>
      <c r="R80" s="28">
        <f t="shared" si="74"/>
        <v>0.75474558433401917</v>
      </c>
      <c r="S80" s="27">
        <f t="shared" si="81"/>
        <v>2080</v>
      </c>
      <c r="T80" s="27">
        <f t="shared" si="82"/>
        <v>1460.3256579628601</v>
      </c>
      <c r="U80" s="27">
        <f t="shared" si="83"/>
        <v>1168.2605263702881</v>
      </c>
      <c r="V80" s="29">
        <f t="shared" si="84"/>
        <v>128.125</v>
      </c>
      <c r="W80" s="30">
        <f t="shared" si="85"/>
        <v>129</v>
      </c>
      <c r="X80" s="30">
        <f t="shared" si="86"/>
        <v>29</v>
      </c>
      <c r="Y80" s="1">
        <f t="shared" si="87"/>
        <v>0.28999999999999998</v>
      </c>
    </row>
    <row r="81" spans="1:27" ht="15.75" customHeight="1" x14ac:dyDescent="0.2">
      <c r="A81" s="1">
        <v>68</v>
      </c>
      <c r="B81" s="32"/>
      <c r="C81" s="33" t="s">
        <v>118</v>
      </c>
      <c r="D81" s="34">
        <v>1600</v>
      </c>
      <c r="E81" s="56">
        <v>806.57318842170889</v>
      </c>
      <c r="F81" s="35">
        <v>806.18319292888589</v>
      </c>
      <c r="G81" s="28">
        <f t="shared" si="79"/>
        <v>4.8375542462775201E-4</v>
      </c>
      <c r="H81" s="63">
        <v>1600</v>
      </c>
      <c r="I81" s="27">
        <f t="shared" si="80"/>
        <v>1920</v>
      </c>
      <c r="J81" s="27"/>
      <c r="K81" s="27"/>
      <c r="L81" s="27"/>
      <c r="M81" s="27">
        <v>2300</v>
      </c>
      <c r="N81" s="27"/>
      <c r="O81" s="27"/>
      <c r="P81" s="27">
        <f t="shared" si="88"/>
        <v>2050</v>
      </c>
      <c r="Q81" s="77">
        <f t="shared" si="73"/>
        <v>0.28125</v>
      </c>
      <c r="R81" s="28">
        <f t="shared" si="74"/>
        <v>1.1180140350018033</v>
      </c>
      <c r="S81" s="27">
        <f t="shared" si="81"/>
        <v>2080</v>
      </c>
      <c r="T81" s="27">
        <f t="shared" si="82"/>
        <v>1209.8597826325633</v>
      </c>
      <c r="U81" s="27">
        <f t="shared" si="83"/>
        <v>967.88782610605062</v>
      </c>
      <c r="V81" s="29">
        <f t="shared" si="84"/>
        <v>128.125</v>
      </c>
      <c r="W81" s="30">
        <f t="shared" si="85"/>
        <v>129</v>
      </c>
      <c r="X81" s="30">
        <f t="shared" si="86"/>
        <v>29</v>
      </c>
      <c r="Y81" s="1">
        <f t="shared" si="87"/>
        <v>0.28999999999999998</v>
      </c>
    </row>
    <row r="82" spans="1:27" ht="15.75" customHeight="1" x14ac:dyDescent="0.2">
      <c r="A82" s="1">
        <v>69</v>
      </c>
      <c r="B82" s="32"/>
      <c r="C82" s="33" t="s">
        <v>327</v>
      </c>
      <c r="D82" s="34">
        <v>1600</v>
      </c>
      <c r="E82" s="56">
        <v>982.35398875851467</v>
      </c>
      <c r="F82" s="35">
        <v>986.43477754910543</v>
      </c>
      <c r="G82" s="28">
        <f t="shared" si="79"/>
        <v>-4.1369068523008368E-3</v>
      </c>
      <c r="H82" s="63">
        <v>1600</v>
      </c>
      <c r="I82" s="27">
        <f t="shared" si="80"/>
        <v>1920</v>
      </c>
      <c r="J82" s="27"/>
      <c r="K82" s="27">
        <v>2100</v>
      </c>
      <c r="L82" s="27"/>
      <c r="M82" s="27">
        <v>2300</v>
      </c>
      <c r="N82" s="27"/>
      <c r="O82" s="27"/>
      <c r="P82" s="27">
        <f t="shared" si="88"/>
        <v>2050</v>
      </c>
      <c r="Q82" s="77">
        <f t="shared" si="73"/>
        <v>0.28125</v>
      </c>
      <c r="R82" s="28">
        <f t="shared" si="74"/>
        <v>0.73902010159525222</v>
      </c>
      <c r="S82" s="27">
        <f t="shared" si="81"/>
        <v>2080</v>
      </c>
      <c r="T82" s="27">
        <f t="shared" si="82"/>
        <v>1473.530983137772</v>
      </c>
      <c r="U82" s="27">
        <f t="shared" si="83"/>
        <v>1178.8247865102176</v>
      </c>
      <c r="V82" s="29">
        <f t="shared" si="84"/>
        <v>128.125</v>
      </c>
      <c r="W82" s="30">
        <f t="shared" si="85"/>
        <v>129</v>
      </c>
      <c r="X82" s="30">
        <f t="shared" si="86"/>
        <v>29</v>
      </c>
      <c r="Y82" s="1">
        <f t="shared" si="87"/>
        <v>0.28999999999999998</v>
      </c>
    </row>
    <row r="83" spans="1:27" ht="15.75" customHeight="1" x14ac:dyDescent="0.2">
      <c r="A83" s="1">
        <v>70</v>
      </c>
      <c r="B83" s="32"/>
      <c r="C83" s="33" t="s">
        <v>422</v>
      </c>
      <c r="D83" s="34">
        <v>1600</v>
      </c>
      <c r="E83" s="56">
        <v>1045.1806507638848</v>
      </c>
      <c r="F83" s="35">
        <v>1277.0762445985413</v>
      </c>
      <c r="G83" s="28">
        <f t="shared" si="79"/>
        <v>-0.18158320211144052</v>
      </c>
      <c r="H83" s="63">
        <v>1600</v>
      </c>
      <c r="I83" s="27">
        <f t="shared" si="80"/>
        <v>1920</v>
      </c>
      <c r="J83" s="27"/>
      <c r="K83" s="27"/>
      <c r="L83" s="27"/>
      <c r="M83" s="27">
        <v>2300</v>
      </c>
      <c r="N83" s="27"/>
      <c r="O83" s="27"/>
      <c r="P83" s="27">
        <f t="shared" si="88"/>
        <v>2050</v>
      </c>
      <c r="Q83" s="77">
        <f t="shared" si="73"/>
        <v>0.28125</v>
      </c>
      <c r="R83" s="28">
        <f t="shared" si="74"/>
        <v>0.63448618388101075</v>
      </c>
      <c r="S83" s="27">
        <f t="shared" si="81"/>
        <v>2080</v>
      </c>
      <c r="T83" s="27">
        <f t="shared" si="82"/>
        <v>1567.7709761458273</v>
      </c>
      <c r="U83" s="27">
        <f t="shared" si="83"/>
        <v>1254.2167809166617</v>
      </c>
      <c r="V83" s="29">
        <f t="shared" si="84"/>
        <v>128.125</v>
      </c>
      <c r="W83" s="30">
        <f t="shared" si="85"/>
        <v>129</v>
      </c>
      <c r="X83" s="30">
        <f t="shared" si="86"/>
        <v>29</v>
      </c>
      <c r="Y83" s="1">
        <f t="shared" si="87"/>
        <v>0.28999999999999998</v>
      </c>
    </row>
    <row r="84" spans="1:27" ht="15.75" customHeight="1" x14ac:dyDescent="0.2">
      <c r="A84" s="1">
        <v>71</v>
      </c>
      <c r="B84" s="32"/>
      <c r="C84" s="33" t="s">
        <v>10</v>
      </c>
      <c r="D84" s="34">
        <v>1600</v>
      </c>
      <c r="E84" s="56">
        <v>991.53484331039817</v>
      </c>
      <c r="F84" s="35">
        <v>878.89444409176508</v>
      </c>
      <c r="G84" s="28">
        <f t="shared" si="79"/>
        <v>0.12816146463985656</v>
      </c>
      <c r="H84" s="63">
        <v>1600</v>
      </c>
      <c r="I84" s="27">
        <f t="shared" si="80"/>
        <v>1920</v>
      </c>
      <c r="J84" s="27"/>
      <c r="K84" s="27"/>
      <c r="L84" s="27"/>
      <c r="M84" s="27">
        <v>2300</v>
      </c>
      <c r="N84" s="27"/>
      <c r="O84" s="27"/>
      <c r="P84" s="27">
        <f t="shared" si="88"/>
        <v>2050</v>
      </c>
      <c r="Q84" s="77">
        <f t="shared" si="73"/>
        <v>0.28125</v>
      </c>
      <c r="R84" s="28">
        <f t="shared" si="74"/>
        <v>0.72291810505598431</v>
      </c>
      <c r="S84" s="27">
        <f t="shared" si="81"/>
        <v>2080</v>
      </c>
      <c r="T84" s="27">
        <f t="shared" si="82"/>
        <v>1487.3022649655973</v>
      </c>
      <c r="U84" s="27">
        <f t="shared" si="83"/>
        <v>1189.8418119724777</v>
      </c>
      <c r="V84" s="29">
        <f t="shared" si="84"/>
        <v>128.125</v>
      </c>
      <c r="W84" s="30">
        <f t="shared" si="85"/>
        <v>129</v>
      </c>
      <c r="X84" s="30">
        <f t="shared" si="86"/>
        <v>29</v>
      </c>
      <c r="Y84" s="1">
        <f t="shared" si="87"/>
        <v>0.28999999999999998</v>
      </c>
    </row>
    <row r="85" spans="1:27" ht="15.75" customHeight="1" x14ac:dyDescent="0.2">
      <c r="A85" s="1">
        <v>72</v>
      </c>
      <c r="B85" s="40"/>
      <c r="C85" s="19" t="s">
        <v>51</v>
      </c>
      <c r="D85" s="41"/>
      <c r="E85" s="59" t="e">
        <f>#REF!</f>
        <v>#REF!</v>
      </c>
      <c r="F85" s="21" t="e">
        <f>#REF!</f>
        <v>#REF!</v>
      </c>
      <c r="G85" s="22">
        <f>IFERROR(E85/F85-100%, )</f>
        <v>0</v>
      </c>
      <c r="H85" s="64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</row>
    <row r="86" spans="1:27" ht="15.75" customHeight="1" x14ac:dyDescent="0.2">
      <c r="A86" s="1">
        <v>73</v>
      </c>
      <c r="B86" s="32"/>
      <c r="C86" s="33" t="s">
        <v>424</v>
      </c>
      <c r="D86" s="34">
        <v>1900</v>
      </c>
      <c r="E86" s="56">
        <v>1258.794304986887</v>
      </c>
      <c r="F86" s="35">
        <v>988.39926812191288</v>
      </c>
      <c r="G86" s="28">
        <f t="shared" ref="G86:G89" si="89">IFERROR(E86/F86-100%,FALSE)</f>
        <v>0.27356863322932234</v>
      </c>
      <c r="H86" s="63">
        <v>1900</v>
      </c>
      <c r="I86" s="27">
        <f t="shared" ref="I86:I89" si="90">H86*1.2</f>
        <v>2280</v>
      </c>
      <c r="J86" s="27"/>
      <c r="K86" s="27"/>
      <c r="L86" s="27"/>
      <c r="M86" s="27">
        <v>2700</v>
      </c>
      <c r="N86" s="27"/>
      <c r="O86" s="27"/>
      <c r="P86" s="76">
        <f>S86-40-30</f>
        <v>2400</v>
      </c>
      <c r="Q86" s="77">
        <f t="shared" si="73"/>
        <v>0.26315789473684204</v>
      </c>
      <c r="R86" s="28">
        <f t="shared" si="74"/>
        <v>0.58882193228609681</v>
      </c>
      <c r="S86" s="27">
        <f>D86*1.3</f>
        <v>2470</v>
      </c>
      <c r="T86" s="27">
        <f>E86*1.5</f>
        <v>1888.1914574803304</v>
      </c>
      <c r="U86" s="27">
        <f>E86*1.2</f>
        <v>1510.5531659842643</v>
      </c>
      <c r="V86" s="29">
        <f>P86/D86*100</f>
        <v>126.31578947368421</v>
      </c>
      <c r="W86" s="30">
        <f t="shared" ref="W86:W89" si="91">ROUNDUP(V86,0)</f>
        <v>127</v>
      </c>
      <c r="X86" s="30">
        <f t="shared" ref="X86:X89" si="92">W86-100</f>
        <v>27</v>
      </c>
      <c r="Y86" s="1">
        <f t="shared" ref="Y86:Y89" si="93">X86/100</f>
        <v>0.27</v>
      </c>
      <c r="AA86" s="31">
        <f t="shared" ref="AA86:AA96" si="94">P86*12</f>
        <v>28800</v>
      </c>
    </row>
    <row r="87" spans="1:27" ht="15.75" customHeight="1" x14ac:dyDescent="0.2">
      <c r="A87" s="1">
        <v>74</v>
      </c>
      <c r="B87" s="32"/>
      <c r="C87" s="33" t="s">
        <v>425</v>
      </c>
      <c r="D87" s="26">
        <v>1900</v>
      </c>
      <c r="E87" s="56">
        <v>1297.8863507573651</v>
      </c>
      <c r="F87" s="27">
        <v>1078.0283337307226</v>
      </c>
      <c r="G87" s="28">
        <f t="shared" si="89"/>
        <v>0.20394456263109695</v>
      </c>
      <c r="H87" s="62">
        <v>1900</v>
      </c>
      <c r="I87" s="27">
        <f t="shared" si="90"/>
        <v>2280</v>
      </c>
      <c r="J87" s="27"/>
      <c r="K87" s="27"/>
      <c r="L87" s="27"/>
      <c r="M87" s="27">
        <v>2700</v>
      </c>
      <c r="N87" s="27"/>
      <c r="O87" s="27"/>
      <c r="P87" s="76">
        <f t="shared" ref="P87:P89" si="95">S87-40-30</f>
        <v>2400</v>
      </c>
      <c r="Q87" s="77">
        <f t="shared" si="73"/>
        <v>0.26315789473684204</v>
      </c>
      <c r="R87" s="28">
        <f t="shared" si="74"/>
        <v>0.54096697205647137</v>
      </c>
      <c r="S87" s="27">
        <f>D87*1.3</f>
        <v>2470</v>
      </c>
      <c r="T87" s="27">
        <f>E87*1.5</f>
        <v>1946.8295261360477</v>
      </c>
      <c r="U87" s="27">
        <f>E87*1.2</f>
        <v>1557.463620908838</v>
      </c>
      <c r="V87" s="29">
        <f>P87/D87*100</f>
        <v>126.31578947368421</v>
      </c>
      <c r="W87" s="30">
        <f t="shared" si="91"/>
        <v>127</v>
      </c>
      <c r="X87" s="30">
        <f t="shared" si="92"/>
        <v>27</v>
      </c>
      <c r="Y87" s="1">
        <f t="shared" si="93"/>
        <v>0.27</v>
      </c>
      <c r="AA87" s="31">
        <f t="shared" si="94"/>
        <v>28800</v>
      </c>
    </row>
    <row r="88" spans="1:27" ht="15.75" customHeight="1" x14ac:dyDescent="0.2">
      <c r="A88" s="1">
        <v>75</v>
      </c>
      <c r="B88" s="32"/>
      <c r="C88" s="33" t="s">
        <v>8</v>
      </c>
      <c r="D88" s="34">
        <v>1900</v>
      </c>
      <c r="E88" s="56">
        <v>1534.3801500179748</v>
      </c>
      <c r="F88" s="35">
        <v>1362.7235017628252</v>
      </c>
      <c r="G88" s="28">
        <f t="shared" si="89"/>
        <v>0.1259658676415969</v>
      </c>
      <c r="H88" s="63">
        <v>1900</v>
      </c>
      <c r="I88" s="27">
        <f t="shared" si="90"/>
        <v>2280</v>
      </c>
      <c r="J88" s="27"/>
      <c r="K88" s="27"/>
      <c r="L88" s="27"/>
      <c r="M88" s="27">
        <v>2700</v>
      </c>
      <c r="N88" s="27"/>
      <c r="O88" s="27"/>
      <c r="P88" s="76">
        <f t="shared" si="95"/>
        <v>2400</v>
      </c>
      <c r="Q88" s="77">
        <f t="shared" si="73"/>
        <v>0.26315789473684204</v>
      </c>
      <c r="R88" s="28">
        <f t="shared" si="74"/>
        <v>0.30345794683056271</v>
      </c>
      <c r="S88" s="27">
        <f>D88*1.3</f>
        <v>2470</v>
      </c>
      <c r="T88" s="27">
        <f>E88*1.5</f>
        <v>2301.5702250269624</v>
      </c>
      <c r="U88" s="27">
        <f>E88*1.2</f>
        <v>1841.2561800215697</v>
      </c>
      <c r="V88" s="29">
        <f>P88/D88*100</f>
        <v>126.31578947368421</v>
      </c>
      <c r="W88" s="30">
        <f t="shared" si="91"/>
        <v>127</v>
      </c>
      <c r="X88" s="30">
        <f t="shared" si="92"/>
        <v>27</v>
      </c>
      <c r="Y88" s="1">
        <f t="shared" si="93"/>
        <v>0.27</v>
      </c>
      <c r="AA88" s="31">
        <f t="shared" si="94"/>
        <v>28800</v>
      </c>
    </row>
    <row r="89" spans="1:27" ht="15.75" customHeight="1" x14ac:dyDescent="0.2">
      <c r="A89" s="1">
        <v>76</v>
      </c>
      <c r="B89" s="32"/>
      <c r="C89" s="33" t="s">
        <v>7</v>
      </c>
      <c r="D89" s="34">
        <v>1900</v>
      </c>
      <c r="E89" s="56">
        <v>1950.6096616336415</v>
      </c>
      <c r="F89" s="35">
        <v>1563.617497862939</v>
      </c>
      <c r="G89" s="28">
        <f t="shared" si="89"/>
        <v>0.24749797460032319</v>
      </c>
      <c r="H89" s="63">
        <v>1900</v>
      </c>
      <c r="I89" s="27">
        <f t="shared" si="90"/>
        <v>2280</v>
      </c>
      <c r="J89" s="27"/>
      <c r="K89" s="27"/>
      <c r="L89" s="27"/>
      <c r="M89" s="27">
        <v>2700</v>
      </c>
      <c r="N89" s="27"/>
      <c r="O89" s="27"/>
      <c r="P89" s="76">
        <f t="shared" si="95"/>
        <v>2400</v>
      </c>
      <c r="Q89" s="77">
        <f t="shared" si="73"/>
        <v>0.26315789473684204</v>
      </c>
      <c r="R89" s="28">
        <f t="shared" si="74"/>
        <v>2.5320462283055623E-2</v>
      </c>
      <c r="S89" s="27">
        <f>D89*1.3</f>
        <v>2470</v>
      </c>
      <c r="T89" s="27">
        <f>E89*1.5</f>
        <v>2925.9144924504621</v>
      </c>
      <c r="U89" s="27">
        <f>E89*1.2</f>
        <v>2340.7315939603695</v>
      </c>
      <c r="V89" s="29">
        <f>P89/D89*100</f>
        <v>126.31578947368421</v>
      </c>
      <c r="W89" s="30">
        <f t="shared" si="91"/>
        <v>127</v>
      </c>
      <c r="X89" s="30">
        <f t="shared" si="92"/>
        <v>27</v>
      </c>
      <c r="Y89" s="1">
        <f t="shared" si="93"/>
        <v>0.27</v>
      </c>
      <c r="AA89" s="31">
        <f t="shared" si="94"/>
        <v>28800</v>
      </c>
    </row>
    <row r="90" spans="1:27" ht="15.75" customHeight="1" x14ac:dyDescent="0.2">
      <c r="A90" s="1">
        <v>77</v>
      </c>
      <c r="B90" s="18"/>
      <c r="C90" s="19" t="s">
        <v>52</v>
      </c>
      <c r="D90" s="41"/>
      <c r="E90" s="53"/>
      <c r="F90" s="42"/>
      <c r="G90" s="42"/>
      <c r="H90" s="66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</row>
    <row r="91" spans="1:27" ht="15.75" customHeight="1" x14ac:dyDescent="0.2">
      <c r="A91" s="1">
        <v>78</v>
      </c>
      <c r="B91" s="32" t="s">
        <v>124</v>
      </c>
      <c r="C91" s="33" t="s">
        <v>125</v>
      </c>
      <c r="D91" s="34">
        <v>1400</v>
      </c>
      <c r="E91" s="56">
        <v>553.67487706334032</v>
      </c>
      <c r="F91" s="35">
        <v>543.94828511836158</v>
      </c>
      <c r="G91" s="28">
        <f t="shared" ref="G91:G96" si="96">IFERROR(E91/F91-100%,FALSE)</f>
        <v>1.7881464490438148E-2</v>
      </c>
      <c r="H91" s="63">
        <v>1400</v>
      </c>
      <c r="I91" s="27">
        <f t="shared" ref="I91:I102" si="97">H91*1.2</f>
        <v>1680</v>
      </c>
      <c r="J91" s="27"/>
      <c r="K91" s="27"/>
      <c r="L91" s="27"/>
      <c r="M91" s="27"/>
      <c r="N91" s="27"/>
      <c r="O91" s="27"/>
      <c r="P91" s="27">
        <f>S91-40-60</f>
        <v>1720</v>
      </c>
      <c r="Q91" s="77">
        <f t="shared" si="73"/>
        <v>0.22857142857142865</v>
      </c>
      <c r="R91" s="28">
        <f t="shared" si="74"/>
        <v>1.5887635374313005</v>
      </c>
      <c r="S91" s="27">
        <f t="shared" ref="S91:S96" si="98">D91*1.3</f>
        <v>1820</v>
      </c>
      <c r="T91" s="27">
        <f t="shared" ref="T91:T96" si="99">E91*1.5</f>
        <v>830.51231559501048</v>
      </c>
      <c r="U91" s="27">
        <f t="shared" ref="U91:U96" si="100">E91*1.2</f>
        <v>664.40985247600838</v>
      </c>
      <c r="V91" s="29">
        <f t="shared" ref="V91:V96" si="101">P91/D91*100</f>
        <v>122.85714285714286</v>
      </c>
      <c r="W91" s="30">
        <f t="shared" ref="W91:W96" si="102">ROUNDUP(V91,0)</f>
        <v>123</v>
      </c>
      <c r="X91" s="30">
        <f t="shared" ref="X91:X96" si="103">W91-100</f>
        <v>23</v>
      </c>
      <c r="Y91" s="1">
        <f t="shared" ref="Y91:Y96" si="104">X91/100</f>
        <v>0.23</v>
      </c>
      <c r="AA91" s="31">
        <f t="shared" si="94"/>
        <v>20640</v>
      </c>
    </row>
    <row r="92" spans="1:27" ht="15.75" customHeight="1" x14ac:dyDescent="0.2">
      <c r="A92" s="1">
        <v>79</v>
      </c>
      <c r="B92" s="32"/>
      <c r="C92" s="25" t="s">
        <v>126</v>
      </c>
      <c r="D92" s="34">
        <v>1400</v>
      </c>
      <c r="E92" s="51" t="s">
        <v>73</v>
      </c>
      <c r="F92" s="35">
        <v>942.98630571612955</v>
      </c>
      <c r="G92" s="28" t="b">
        <f t="shared" si="96"/>
        <v>0</v>
      </c>
      <c r="H92" s="63">
        <v>1400</v>
      </c>
      <c r="I92" s="27">
        <f t="shared" si="97"/>
        <v>1680</v>
      </c>
      <c r="J92" s="27"/>
      <c r="K92" s="27"/>
      <c r="L92" s="27"/>
      <c r="M92" s="27"/>
      <c r="N92" s="27"/>
      <c r="O92" s="27"/>
      <c r="P92" s="27">
        <f>S92-40-60</f>
        <v>1720</v>
      </c>
      <c r="Q92" s="77">
        <f t="shared" si="73"/>
        <v>0.22857142857142865</v>
      </c>
      <c r="R92" s="28" t="b">
        <f t="shared" si="74"/>
        <v>0</v>
      </c>
      <c r="S92" s="27">
        <f t="shared" si="98"/>
        <v>1820</v>
      </c>
      <c r="T92" s="27" t="e">
        <f t="shared" si="99"/>
        <v>#VALUE!</v>
      </c>
      <c r="U92" s="27" t="e">
        <f t="shared" si="100"/>
        <v>#VALUE!</v>
      </c>
      <c r="V92" s="29">
        <f t="shared" si="101"/>
        <v>122.85714285714286</v>
      </c>
      <c r="W92" s="30">
        <f t="shared" si="102"/>
        <v>123</v>
      </c>
      <c r="X92" s="30">
        <f t="shared" si="103"/>
        <v>23</v>
      </c>
      <c r="Y92" s="1">
        <f t="shared" si="104"/>
        <v>0.23</v>
      </c>
      <c r="AA92" s="31">
        <f t="shared" si="94"/>
        <v>20640</v>
      </c>
    </row>
    <row r="93" spans="1:27" ht="15.75" customHeight="1" x14ac:dyDescent="0.2">
      <c r="A93" s="1">
        <v>80</v>
      </c>
      <c r="B93" s="32"/>
      <c r="C93" s="33" t="s">
        <v>27</v>
      </c>
      <c r="D93" s="34">
        <v>950</v>
      </c>
      <c r="E93" s="56">
        <v>564.76962211121349</v>
      </c>
      <c r="F93" s="35">
        <v>526.60902147820877</v>
      </c>
      <c r="G93" s="28">
        <f t="shared" si="96"/>
        <v>7.2464768123202017E-2</v>
      </c>
      <c r="H93" s="63">
        <v>950</v>
      </c>
      <c r="I93" s="27">
        <f t="shared" si="97"/>
        <v>1140</v>
      </c>
      <c r="J93" s="27"/>
      <c r="K93" s="27"/>
      <c r="L93" s="27"/>
      <c r="M93" s="27"/>
      <c r="N93" s="27"/>
      <c r="O93" s="27"/>
      <c r="P93" s="27">
        <f>S93-40-45</f>
        <v>1150</v>
      </c>
      <c r="Q93" s="77">
        <f t="shared" si="73"/>
        <v>0.21052631578947367</v>
      </c>
      <c r="R93" s="28">
        <f t="shared" si="74"/>
        <v>0.69685708262938384</v>
      </c>
      <c r="S93" s="27">
        <f t="shared" si="98"/>
        <v>1235</v>
      </c>
      <c r="T93" s="27">
        <f t="shared" si="99"/>
        <v>847.15443316682024</v>
      </c>
      <c r="U93" s="27">
        <f t="shared" si="100"/>
        <v>677.72354653345622</v>
      </c>
      <c r="V93" s="29">
        <f t="shared" si="101"/>
        <v>121.05263157894737</v>
      </c>
      <c r="W93" s="30">
        <f t="shared" si="102"/>
        <v>122</v>
      </c>
      <c r="X93" s="30">
        <f t="shared" si="103"/>
        <v>22</v>
      </c>
      <c r="Y93" s="1">
        <f t="shared" si="104"/>
        <v>0.22</v>
      </c>
      <c r="AA93" s="31">
        <f t="shared" si="94"/>
        <v>13800</v>
      </c>
    </row>
    <row r="94" spans="1:27" ht="15.75" customHeight="1" x14ac:dyDescent="0.2">
      <c r="A94" s="1">
        <v>81</v>
      </c>
      <c r="B94" s="32"/>
      <c r="C94" s="33" t="s">
        <v>127</v>
      </c>
      <c r="D94" s="34">
        <v>900</v>
      </c>
      <c r="E94" s="56">
        <v>644.91298901117023</v>
      </c>
      <c r="F94" s="35">
        <v>602.19147182356653</v>
      </c>
      <c r="G94" s="28">
        <f t="shared" si="96"/>
        <v>7.0943411168267856E-2</v>
      </c>
      <c r="H94" s="63">
        <v>900</v>
      </c>
      <c r="I94" s="27">
        <f t="shared" si="97"/>
        <v>1080</v>
      </c>
      <c r="J94" s="27"/>
      <c r="K94" s="27"/>
      <c r="L94" s="27"/>
      <c r="M94" s="27"/>
      <c r="N94" s="27"/>
      <c r="O94" s="27"/>
      <c r="P94" s="27">
        <f>S94-40-45+15</f>
        <v>1100</v>
      </c>
      <c r="Q94" s="77">
        <f t="shared" si="73"/>
        <v>0.22222222222222232</v>
      </c>
      <c r="R94" s="28">
        <f t="shared" si="74"/>
        <v>0.4213803757808785</v>
      </c>
      <c r="S94" s="27">
        <f t="shared" si="98"/>
        <v>1170</v>
      </c>
      <c r="T94" s="27">
        <f t="shared" si="99"/>
        <v>967.36948351675528</v>
      </c>
      <c r="U94" s="27">
        <f t="shared" si="100"/>
        <v>773.89558681340429</v>
      </c>
      <c r="V94" s="29">
        <f t="shared" si="101"/>
        <v>122.22222222222223</v>
      </c>
      <c r="W94" s="30">
        <f t="shared" si="102"/>
        <v>123</v>
      </c>
      <c r="X94" s="30">
        <f t="shared" si="103"/>
        <v>23</v>
      </c>
      <c r="Y94" s="1">
        <f t="shared" si="104"/>
        <v>0.23</v>
      </c>
      <c r="AA94" s="31">
        <f t="shared" si="94"/>
        <v>13200</v>
      </c>
    </row>
    <row r="95" spans="1:27" ht="15.75" customHeight="1" x14ac:dyDescent="0.2">
      <c r="A95" s="1">
        <v>82</v>
      </c>
      <c r="B95" s="32"/>
      <c r="C95" s="33" t="s">
        <v>128</v>
      </c>
      <c r="D95" s="26">
        <v>950</v>
      </c>
      <c r="E95" s="56">
        <v>577.04846959032841</v>
      </c>
      <c r="F95" s="27">
        <v>577.35538367355275</v>
      </c>
      <c r="G95" s="28">
        <f t="shared" si="96"/>
        <v>-5.315860766232916E-4</v>
      </c>
      <c r="H95" s="62">
        <v>950</v>
      </c>
      <c r="I95" s="27">
        <f t="shared" si="97"/>
        <v>1140</v>
      </c>
      <c r="J95" s="27"/>
      <c r="K95" s="27"/>
      <c r="L95" s="27"/>
      <c r="M95" s="27"/>
      <c r="N95" s="27"/>
      <c r="O95" s="27"/>
      <c r="P95" s="27">
        <f>S95-40-45</f>
        <v>1150</v>
      </c>
      <c r="Q95" s="77">
        <f t="shared" si="73"/>
        <v>0.21052631578947367</v>
      </c>
      <c r="R95" s="28">
        <f t="shared" si="74"/>
        <v>0.66075015156646311</v>
      </c>
      <c r="S95" s="27">
        <f t="shared" si="98"/>
        <v>1235</v>
      </c>
      <c r="T95" s="27">
        <f t="shared" si="99"/>
        <v>865.57270438549267</v>
      </c>
      <c r="U95" s="27">
        <f t="shared" si="100"/>
        <v>692.45816350839402</v>
      </c>
      <c r="V95" s="29">
        <f t="shared" si="101"/>
        <v>121.05263157894737</v>
      </c>
      <c r="W95" s="30">
        <f t="shared" si="102"/>
        <v>122</v>
      </c>
      <c r="X95" s="30">
        <f t="shared" si="103"/>
        <v>22</v>
      </c>
      <c r="Y95" s="1">
        <f t="shared" si="104"/>
        <v>0.22</v>
      </c>
      <c r="AA95" s="31">
        <f t="shared" si="94"/>
        <v>13800</v>
      </c>
    </row>
    <row r="96" spans="1:27" ht="15.75" customHeight="1" x14ac:dyDescent="0.2">
      <c r="A96" s="1">
        <v>83</v>
      </c>
      <c r="B96" s="32"/>
      <c r="C96" s="33" t="s">
        <v>129</v>
      </c>
      <c r="D96" s="26">
        <v>1300</v>
      </c>
      <c r="E96" s="56">
        <v>826.49850343673006</v>
      </c>
      <c r="F96" s="27">
        <v>743.61617505970617</v>
      </c>
      <c r="G96" s="28">
        <f t="shared" si="96"/>
        <v>0.11145847973300094</v>
      </c>
      <c r="H96" s="62">
        <v>1300</v>
      </c>
      <c r="I96" s="27">
        <f t="shared" si="97"/>
        <v>1560</v>
      </c>
      <c r="J96" s="27"/>
      <c r="K96" s="27"/>
      <c r="L96" s="27"/>
      <c r="M96" s="27"/>
      <c r="N96" s="27"/>
      <c r="O96" s="27"/>
      <c r="P96" s="27">
        <f>S96-40-60</f>
        <v>1590</v>
      </c>
      <c r="Q96" s="77">
        <f t="shared" si="73"/>
        <v>0.22307692307692317</v>
      </c>
      <c r="R96" s="28">
        <f t="shared" si="74"/>
        <v>0.60314869838288954</v>
      </c>
      <c r="S96" s="27">
        <f t="shared" si="98"/>
        <v>1690</v>
      </c>
      <c r="T96" s="27">
        <f t="shared" si="99"/>
        <v>1239.7477551550951</v>
      </c>
      <c r="U96" s="27">
        <f t="shared" si="100"/>
        <v>991.79820412407605</v>
      </c>
      <c r="V96" s="29">
        <f t="shared" si="101"/>
        <v>122.30769230769232</v>
      </c>
      <c r="W96" s="30">
        <f t="shared" si="102"/>
        <v>123</v>
      </c>
      <c r="X96" s="30">
        <f t="shared" si="103"/>
        <v>23</v>
      </c>
      <c r="Y96" s="1">
        <f t="shared" si="104"/>
        <v>0.23</v>
      </c>
      <c r="AA96" s="31">
        <f t="shared" si="94"/>
        <v>19080</v>
      </c>
    </row>
    <row r="97" spans="1:27" ht="15.75" customHeight="1" x14ac:dyDescent="0.2">
      <c r="A97" s="1">
        <v>84</v>
      </c>
      <c r="B97" s="32"/>
      <c r="C97" s="33" t="s">
        <v>29</v>
      </c>
      <c r="D97" s="26"/>
      <c r="E97" s="56">
        <v>885.55893962070502</v>
      </c>
      <c r="F97" s="27" t="s">
        <v>73</v>
      </c>
      <c r="G97" s="28"/>
      <c r="H97" s="62">
        <v>1400</v>
      </c>
      <c r="I97" s="27">
        <f t="shared" si="97"/>
        <v>1680</v>
      </c>
      <c r="J97" s="27"/>
      <c r="K97" s="27"/>
      <c r="L97" s="27"/>
      <c r="M97" s="27"/>
      <c r="N97" s="27"/>
      <c r="O97" s="27"/>
      <c r="P97" s="27">
        <f>S97</f>
        <v>1400</v>
      </c>
      <c r="Q97" s="77"/>
      <c r="R97" s="28"/>
      <c r="S97" s="69">
        <v>1400</v>
      </c>
      <c r="T97" s="27">
        <f t="shared" ref="T97:T98" si="105">E97*1.5</f>
        <v>1328.3384094310575</v>
      </c>
      <c r="U97" s="27">
        <f t="shared" ref="U97:U98" si="106">E97*1.2</f>
        <v>1062.6707275448459</v>
      </c>
      <c r="V97" s="29" t="e">
        <f t="shared" ref="V97:V98" si="107">P97/D97*100</f>
        <v>#DIV/0!</v>
      </c>
      <c r="W97" s="30" t="e">
        <f t="shared" ref="W97:W98" si="108">ROUNDUP(V97,0)</f>
        <v>#DIV/0!</v>
      </c>
      <c r="X97" s="30" t="e">
        <f t="shared" ref="X97:X98" si="109">W97-100</f>
        <v>#DIV/0!</v>
      </c>
      <c r="Y97" s="1" t="e">
        <f t="shared" ref="Y97:Y98" si="110">X97/100</f>
        <v>#DIV/0!</v>
      </c>
      <c r="AA97" s="31">
        <f t="shared" ref="AA97:AA98" si="111">P97*12</f>
        <v>16800</v>
      </c>
    </row>
    <row r="98" spans="1:27" ht="15.75" customHeight="1" x14ac:dyDescent="0.2">
      <c r="A98" s="1">
        <v>85</v>
      </c>
      <c r="B98" s="32"/>
      <c r="C98" s="33" t="s">
        <v>146</v>
      </c>
      <c r="D98" s="26"/>
      <c r="E98" s="56">
        <v>564.5921611495769</v>
      </c>
      <c r="F98" s="27" t="s">
        <v>73</v>
      </c>
      <c r="G98" s="28"/>
      <c r="H98" s="62">
        <v>1000</v>
      </c>
      <c r="I98" s="27">
        <f t="shared" si="97"/>
        <v>1200</v>
      </c>
      <c r="J98" s="27"/>
      <c r="K98" s="27"/>
      <c r="L98" s="27"/>
      <c r="M98" s="27"/>
      <c r="N98" s="27"/>
      <c r="O98" s="27"/>
      <c r="P98" s="27">
        <v>1150</v>
      </c>
      <c r="Q98" s="77"/>
      <c r="R98" s="28"/>
      <c r="S98" s="69">
        <v>1200</v>
      </c>
      <c r="T98" s="27">
        <f t="shared" si="105"/>
        <v>846.88824172436534</v>
      </c>
      <c r="U98" s="27">
        <f t="shared" si="106"/>
        <v>677.51059337949221</v>
      </c>
      <c r="V98" s="29" t="e">
        <f t="shared" si="107"/>
        <v>#DIV/0!</v>
      </c>
      <c r="W98" s="30" t="e">
        <f t="shared" si="108"/>
        <v>#DIV/0!</v>
      </c>
      <c r="X98" s="30" t="e">
        <f t="shared" si="109"/>
        <v>#DIV/0!</v>
      </c>
      <c r="Y98" s="1" t="e">
        <f t="shared" si="110"/>
        <v>#DIV/0!</v>
      </c>
      <c r="AA98" s="31">
        <f t="shared" si="111"/>
        <v>13800</v>
      </c>
    </row>
    <row r="99" spans="1:27" ht="15.75" customHeight="1" x14ac:dyDescent="0.2">
      <c r="A99" s="1">
        <v>86</v>
      </c>
      <c r="B99" s="18"/>
      <c r="C99" s="19" t="s">
        <v>130</v>
      </c>
      <c r="D99" s="41"/>
      <c r="E99" s="53"/>
      <c r="F99" s="42"/>
      <c r="G99" s="42"/>
      <c r="H99" s="66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</row>
    <row r="100" spans="1:27" s="43" customFormat="1" ht="15.75" customHeight="1" x14ac:dyDescent="0.2">
      <c r="A100" s="1">
        <v>87</v>
      </c>
      <c r="B100" s="24" t="s">
        <v>131</v>
      </c>
      <c r="C100" s="25" t="s">
        <v>426</v>
      </c>
      <c r="D100" s="26">
        <v>5900</v>
      </c>
      <c r="E100" s="51"/>
      <c r="F100" s="27"/>
      <c r="G100" s="28" t="b">
        <f t="shared" ref="G100:G102" si="112">IFERROR(E100/F100-100%,FALSE)</f>
        <v>0</v>
      </c>
      <c r="H100" s="62">
        <v>5900</v>
      </c>
      <c r="I100" s="27">
        <f t="shared" si="97"/>
        <v>7080</v>
      </c>
      <c r="J100" s="27"/>
      <c r="M100" s="43">
        <v>5500</v>
      </c>
      <c r="O100" s="27">
        <v>8100</v>
      </c>
      <c r="P100" s="27">
        <f>S100-70-100-300-100</f>
        <v>7100</v>
      </c>
      <c r="Q100" s="77">
        <f t="shared" si="73"/>
        <v>0.20338983050847448</v>
      </c>
      <c r="R100" s="27"/>
      <c r="S100" s="27">
        <f>D100*1.3</f>
        <v>7670</v>
      </c>
      <c r="V100" s="29">
        <f>P100/D100*100</f>
        <v>120.33898305084745</v>
      </c>
      <c r="W100" s="30">
        <f t="shared" ref="W100:W102" si="113">ROUNDUP(V100,0)</f>
        <v>121</v>
      </c>
      <c r="X100" s="30">
        <f t="shared" ref="X100:X102" si="114">W100-100</f>
        <v>21</v>
      </c>
      <c r="Y100" s="1">
        <f t="shared" ref="Y100:Y102" si="115">X100/100</f>
        <v>0.21</v>
      </c>
    </row>
    <row r="101" spans="1:27" s="43" customFormat="1" ht="15.75" customHeight="1" x14ac:dyDescent="0.2">
      <c r="A101" s="1">
        <v>88</v>
      </c>
      <c r="B101" s="47"/>
      <c r="C101" s="25" t="s">
        <v>427</v>
      </c>
      <c r="D101" s="26">
        <v>4500</v>
      </c>
      <c r="E101" s="51"/>
      <c r="F101" s="27"/>
      <c r="G101" s="28" t="b">
        <f t="shared" si="112"/>
        <v>0</v>
      </c>
      <c r="H101" s="62">
        <v>4500</v>
      </c>
      <c r="I101" s="27">
        <f t="shared" si="97"/>
        <v>5400</v>
      </c>
      <c r="J101" s="27"/>
      <c r="O101" s="27">
        <v>6300</v>
      </c>
      <c r="P101" s="27">
        <f>S101-50-100-300</f>
        <v>5400</v>
      </c>
      <c r="Q101" s="77">
        <f t="shared" si="73"/>
        <v>0.19999999999999996</v>
      </c>
      <c r="R101" s="27"/>
      <c r="S101" s="27">
        <f>D101*1.3</f>
        <v>5850</v>
      </c>
      <c r="V101" s="29">
        <f>P101/D101*100</f>
        <v>120</v>
      </c>
      <c r="W101" s="30">
        <f t="shared" si="113"/>
        <v>120</v>
      </c>
      <c r="X101" s="30">
        <f t="shared" si="114"/>
        <v>20</v>
      </c>
      <c r="Y101" s="1">
        <f t="shared" si="115"/>
        <v>0.2</v>
      </c>
    </row>
    <row r="102" spans="1:27" ht="15.75" customHeight="1" x14ac:dyDescent="0.2">
      <c r="A102" s="1">
        <v>89</v>
      </c>
      <c r="B102" s="24"/>
      <c r="C102" s="25" t="s">
        <v>428</v>
      </c>
      <c r="D102" s="26">
        <v>3400</v>
      </c>
      <c r="E102" s="51"/>
      <c r="F102" s="27"/>
      <c r="G102" s="28" t="b">
        <f t="shared" si="112"/>
        <v>0</v>
      </c>
      <c r="H102" s="62">
        <v>3400</v>
      </c>
      <c r="I102" s="27">
        <f t="shared" si="97"/>
        <v>4080</v>
      </c>
      <c r="J102" s="27"/>
      <c r="M102" s="1">
        <v>4200</v>
      </c>
      <c r="O102" s="27">
        <v>5600</v>
      </c>
      <c r="P102" s="76">
        <f>S102-20-300</f>
        <v>4100</v>
      </c>
      <c r="Q102" s="77">
        <f t="shared" si="73"/>
        <v>0.20588235294117641</v>
      </c>
      <c r="R102" s="27"/>
      <c r="S102" s="27">
        <f>D102*1.3</f>
        <v>4420</v>
      </c>
      <c r="V102" s="29">
        <f>P102/D102*100</f>
        <v>120.58823529411764</v>
      </c>
      <c r="W102" s="30">
        <f t="shared" si="113"/>
        <v>121</v>
      </c>
      <c r="X102" s="30">
        <f t="shared" si="114"/>
        <v>21</v>
      </c>
      <c r="Y102" s="1">
        <f t="shared" si="115"/>
        <v>0.21</v>
      </c>
    </row>
    <row r="103" spans="1:27" ht="15.75" customHeight="1" x14ac:dyDescent="0.2">
      <c r="A103" s="1">
        <v>90</v>
      </c>
      <c r="B103" s="18"/>
      <c r="C103" s="19" t="s">
        <v>53</v>
      </c>
      <c r="D103" s="41"/>
      <c r="E103" s="53"/>
      <c r="F103" s="42"/>
      <c r="G103" s="42"/>
      <c r="H103" s="66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</row>
    <row r="104" spans="1:27" ht="15.75" customHeight="1" x14ac:dyDescent="0.2">
      <c r="A104" s="1">
        <v>91</v>
      </c>
      <c r="B104" s="32" t="s">
        <v>135</v>
      </c>
      <c r="C104" s="25" t="s">
        <v>420</v>
      </c>
      <c r="D104" s="26">
        <v>800</v>
      </c>
      <c r="E104" s="51" t="s">
        <v>73</v>
      </c>
      <c r="F104" s="27">
        <v>915.79083454799377</v>
      </c>
      <c r="G104" s="28" t="b">
        <f t="shared" ref="G104:G105" si="116">IFERROR(E104/F104-100%,FALSE)</f>
        <v>0</v>
      </c>
      <c r="H104" s="62">
        <v>800</v>
      </c>
      <c r="I104" s="27">
        <f t="shared" ref="I104:I105" si="117">H104*1.2</f>
        <v>960</v>
      </c>
      <c r="J104" s="27"/>
      <c r="K104" s="27"/>
      <c r="L104" s="27">
        <v>800</v>
      </c>
      <c r="M104" s="27"/>
      <c r="N104" s="27"/>
      <c r="O104" s="27"/>
      <c r="P104" s="27">
        <f>S104-40-50</f>
        <v>950</v>
      </c>
      <c r="Q104" s="77">
        <f t="shared" si="73"/>
        <v>0.1875</v>
      </c>
      <c r="R104" s="28" t="b">
        <f t="shared" ref="R104:R105" si="118">IFERROR(P104/U104-1,FALSE)</f>
        <v>0</v>
      </c>
      <c r="S104" s="27">
        <f>D104*1.3</f>
        <v>1040</v>
      </c>
      <c r="T104" s="27" t="e">
        <f>E104*1.5</f>
        <v>#VALUE!</v>
      </c>
      <c r="U104" s="27" t="e">
        <f>E104*1.2</f>
        <v>#VALUE!</v>
      </c>
      <c r="V104" s="29">
        <f>P104/D104*100</f>
        <v>118.75</v>
      </c>
      <c r="W104" s="30">
        <f t="shared" ref="W104:W105" si="119">ROUNDUP(V104,0)</f>
        <v>119</v>
      </c>
      <c r="X104" s="30">
        <f t="shared" ref="X104:X105" si="120">W104-100</f>
        <v>19</v>
      </c>
      <c r="Y104" s="1">
        <f t="shared" ref="Y104:Y105" si="121">X104/100</f>
        <v>0.19</v>
      </c>
    </row>
    <row r="105" spans="1:27" ht="15.75" customHeight="1" thickBot="1" x14ac:dyDescent="0.25">
      <c r="A105" s="1">
        <v>92</v>
      </c>
      <c r="B105" s="48"/>
      <c r="C105" s="49" t="s">
        <v>137</v>
      </c>
      <c r="D105" s="50">
        <v>900</v>
      </c>
      <c r="E105" s="56">
        <v>755.17869317085081</v>
      </c>
      <c r="F105" s="27">
        <v>712.19489067856898</v>
      </c>
      <c r="G105" s="28">
        <f t="shared" si="116"/>
        <v>6.0353988851741702E-2</v>
      </c>
      <c r="H105" s="62">
        <v>900</v>
      </c>
      <c r="I105" s="27">
        <f t="shared" si="117"/>
        <v>1080</v>
      </c>
      <c r="J105" s="27"/>
      <c r="K105" s="27"/>
      <c r="L105" s="27"/>
      <c r="M105" s="27"/>
      <c r="N105" s="27"/>
      <c r="O105" s="27"/>
      <c r="P105" s="27">
        <f>S105-20-50-20-10</f>
        <v>1070</v>
      </c>
      <c r="Q105" s="77">
        <f t="shared" si="73"/>
        <v>0.18888888888888888</v>
      </c>
      <c r="R105" s="28">
        <f t="shared" si="118"/>
        <v>0.18073599630139059</v>
      </c>
      <c r="S105" s="27">
        <f>D105*1.3</f>
        <v>1170</v>
      </c>
      <c r="T105" s="27">
        <f>E105*1.5</f>
        <v>1132.7680397562763</v>
      </c>
      <c r="U105" s="27">
        <f>E105*1.2</f>
        <v>906.21443180502092</v>
      </c>
      <c r="V105" s="29">
        <f>P105/D105*100</f>
        <v>118.88888888888889</v>
      </c>
      <c r="W105" s="30">
        <f t="shared" si="119"/>
        <v>119</v>
      </c>
      <c r="X105" s="30">
        <f t="shared" si="120"/>
        <v>19</v>
      </c>
      <c r="Y105" s="1">
        <f t="shared" si="121"/>
        <v>0.19</v>
      </c>
    </row>
    <row r="106" spans="1:27" ht="16.5" customHeight="1" x14ac:dyDescent="0.2">
      <c r="Q106" s="78">
        <f>AVERAGE(Q14:Q105)</f>
        <v>0.20980793792186297</v>
      </c>
      <c r="R106" s="78">
        <f>AVERAGE(R14:R105)</f>
        <v>0.55624823510579346</v>
      </c>
    </row>
    <row r="107" spans="1:27" ht="25.5" customHeight="1" x14ac:dyDescent="0.2"/>
    <row r="108" spans="1:27" x14ac:dyDescent="0.2">
      <c r="B108" s="1" t="s">
        <v>138</v>
      </c>
    </row>
    <row r="110" spans="1:27" x14ac:dyDescent="0.2">
      <c r="B110" s="1" t="s">
        <v>139</v>
      </c>
    </row>
  </sheetData>
  <autoFilter ref="B11:D105"/>
  <mergeCells count="3">
    <mergeCell ref="B9:D9"/>
    <mergeCell ref="B60:B63"/>
    <mergeCell ref="I10:O10"/>
  </mergeCells>
  <conditionalFormatting sqref="Q14:Q105">
    <cfRule type="cellIs" dxfId="0" priority="1" operator="lessThan">
      <formula>0</formula>
    </cfRule>
  </conditionalFormatting>
  <pageMargins left="0.62992125984251968" right="0.19685039370078741" top="0.47244094488188981" bottom="0.39370078740157483" header="0.19685039370078741" footer="0.15748031496062992"/>
  <pageSetup paperSize="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F5:J215"/>
  <sheetViews>
    <sheetView workbookViewId="0">
      <selection activeCell="I1" sqref="I1"/>
    </sheetView>
  </sheetViews>
  <sheetFormatPr defaultRowHeight="15" x14ac:dyDescent="0.25"/>
  <cols>
    <col min="6" max="6" width="46.140625" customWidth="1"/>
    <col min="9" max="9" width="20.5703125" customWidth="1"/>
    <col min="10" max="10" width="10" customWidth="1"/>
  </cols>
  <sheetData>
    <row r="5" spans="6:10" ht="15.75" thickBot="1" x14ac:dyDescent="0.3"/>
    <row r="6" spans="6:10" x14ac:dyDescent="0.25">
      <c r="F6" s="15" t="s">
        <v>0</v>
      </c>
      <c r="I6" s="74" t="s">
        <v>66</v>
      </c>
      <c r="J6" s="74" t="s">
        <v>157</v>
      </c>
    </row>
    <row r="7" spans="6:10" x14ac:dyDescent="0.25">
      <c r="F7" s="19" t="s">
        <v>42</v>
      </c>
      <c r="I7" s="74" t="s">
        <v>75</v>
      </c>
      <c r="J7" s="74" t="s">
        <v>158</v>
      </c>
    </row>
    <row r="8" spans="6:10" x14ac:dyDescent="0.25">
      <c r="F8" s="25" t="s">
        <v>66</v>
      </c>
      <c r="I8" s="74" t="s">
        <v>75</v>
      </c>
      <c r="J8" s="74" t="s">
        <v>159</v>
      </c>
    </row>
    <row r="9" spans="6:10" x14ac:dyDescent="0.25">
      <c r="F9" s="33" t="s">
        <v>67</v>
      </c>
      <c r="I9" s="74" t="s">
        <v>75</v>
      </c>
      <c r="J9" s="74" t="s">
        <v>160</v>
      </c>
    </row>
    <row r="10" spans="6:10" x14ac:dyDescent="0.25">
      <c r="F10" s="33" t="s">
        <v>68</v>
      </c>
      <c r="I10" s="74" t="s">
        <v>161</v>
      </c>
      <c r="J10" s="74" t="s">
        <v>162</v>
      </c>
    </row>
    <row r="11" spans="6:10" x14ac:dyDescent="0.25">
      <c r="F11" s="33" t="s">
        <v>69</v>
      </c>
      <c r="I11" s="74" t="s">
        <v>161</v>
      </c>
      <c r="J11" s="74" t="s">
        <v>163</v>
      </c>
    </row>
    <row r="12" spans="6:10" x14ac:dyDescent="0.25">
      <c r="F12" s="33" t="s">
        <v>70</v>
      </c>
      <c r="I12" s="74" t="s">
        <v>161</v>
      </c>
      <c r="J12" s="74" t="s">
        <v>164</v>
      </c>
    </row>
    <row r="13" spans="6:10" x14ac:dyDescent="0.25">
      <c r="F13" s="33" t="s">
        <v>4</v>
      </c>
      <c r="I13" s="74" t="s">
        <v>161</v>
      </c>
      <c r="J13" s="74" t="s">
        <v>165</v>
      </c>
    </row>
    <row r="14" spans="6:10" x14ac:dyDescent="0.25">
      <c r="F14" s="33" t="s">
        <v>71</v>
      </c>
      <c r="I14" s="74" t="s">
        <v>161</v>
      </c>
      <c r="J14" s="74" t="s">
        <v>166</v>
      </c>
    </row>
    <row r="15" spans="6:10" x14ac:dyDescent="0.25">
      <c r="F15" s="33" t="s">
        <v>3</v>
      </c>
      <c r="I15" s="74" t="s">
        <v>161</v>
      </c>
      <c r="J15" s="74" t="s">
        <v>167</v>
      </c>
    </row>
    <row r="16" spans="6:10" x14ac:dyDescent="0.25">
      <c r="F16" s="33" t="s">
        <v>72</v>
      </c>
      <c r="I16" s="74" t="s">
        <v>161</v>
      </c>
      <c r="J16" s="74" t="s">
        <v>168</v>
      </c>
    </row>
    <row r="17" spans="6:10" x14ac:dyDescent="0.25">
      <c r="F17" s="33" t="s">
        <v>1</v>
      </c>
      <c r="I17" s="74" t="s">
        <v>161</v>
      </c>
      <c r="J17" s="74" t="s">
        <v>169</v>
      </c>
    </row>
    <row r="18" spans="6:10" x14ac:dyDescent="0.25">
      <c r="F18" s="19" t="s">
        <v>43</v>
      </c>
      <c r="I18" s="74" t="s">
        <v>161</v>
      </c>
      <c r="J18" s="74" t="s">
        <v>170</v>
      </c>
    </row>
    <row r="19" spans="6:10" x14ac:dyDescent="0.25">
      <c r="F19" s="33" t="s">
        <v>75</v>
      </c>
      <c r="I19" s="74" t="s">
        <v>161</v>
      </c>
      <c r="J19" s="74" t="s">
        <v>171</v>
      </c>
    </row>
    <row r="20" spans="6:10" x14ac:dyDescent="0.25">
      <c r="F20" s="33" t="s">
        <v>76</v>
      </c>
      <c r="I20" s="74" t="s">
        <v>172</v>
      </c>
      <c r="J20" s="74" t="s">
        <v>173</v>
      </c>
    </row>
    <row r="21" spans="6:10" x14ac:dyDescent="0.25">
      <c r="F21" s="33" t="s">
        <v>77</v>
      </c>
      <c r="I21" s="74" t="s">
        <v>172</v>
      </c>
      <c r="J21" s="74" t="s">
        <v>174</v>
      </c>
    </row>
    <row r="22" spans="6:10" x14ac:dyDescent="0.25">
      <c r="F22" s="33" t="s">
        <v>78</v>
      </c>
      <c r="I22" s="74" t="s">
        <v>175</v>
      </c>
      <c r="J22" s="74" t="s">
        <v>176</v>
      </c>
    </row>
    <row r="23" spans="6:10" x14ac:dyDescent="0.25">
      <c r="F23" s="33" t="s">
        <v>79</v>
      </c>
      <c r="I23" s="74" t="s">
        <v>177</v>
      </c>
      <c r="J23" s="74" t="s">
        <v>178</v>
      </c>
    </row>
    <row r="24" spans="6:10" x14ac:dyDescent="0.25">
      <c r="F24" s="33" t="s">
        <v>80</v>
      </c>
      <c r="I24" s="74" t="s">
        <v>177</v>
      </c>
      <c r="J24" s="74" t="s">
        <v>179</v>
      </c>
    </row>
    <row r="25" spans="6:10" ht="15.75" thickBot="1" x14ac:dyDescent="0.3">
      <c r="F25" s="39" t="s">
        <v>2</v>
      </c>
      <c r="I25" s="74" t="s">
        <v>180</v>
      </c>
      <c r="J25" s="74" t="s">
        <v>181</v>
      </c>
    </row>
    <row r="26" spans="6:10" x14ac:dyDescent="0.25">
      <c r="F26" s="15" t="s">
        <v>30</v>
      </c>
      <c r="I26" s="74" t="s">
        <v>182</v>
      </c>
      <c r="J26" s="74" t="s">
        <v>183</v>
      </c>
    </row>
    <row r="27" spans="6:10" x14ac:dyDescent="0.25">
      <c r="F27" s="19" t="s">
        <v>44</v>
      </c>
      <c r="I27" s="74" t="s">
        <v>182</v>
      </c>
      <c r="J27" s="74" t="s">
        <v>184</v>
      </c>
    </row>
    <row r="28" spans="6:10" x14ac:dyDescent="0.25">
      <c r="F28" s="33" t="s">
        <v>82</v>
      </c>
      <c r="I28" s="74" t="s">
        <v>185</v>
      </c>
      <c r="J28" s="74" t="s">
        <v>186</v>
      </c>
    </row>
    <row r="29" spans="6:10" x14ac:dyDescent="0.25">
      <c r="F29" s="33" t="s">
        <v>83</v>
      </c>
      <c r="I29" s="74" t="s">
        <v>187</v>
      </c>
      <c r="J29" s="74" t="s">
        <v>188</v>
      </c>
    </row>
    <row r="30" spans="6:10" x14ac:dyDescent="0.25">
      <c r="F30" s="33" t="s">
        <v>84</v>
      </c>
      <c r="I30" s="74" t="s">
        <v>189</v>
      </c>
      <c r="J30" s="74" t="s">
        <v>190</v>
      </c>
    </row>
    <row r="31" spans="6:10" x14ac:dyDescent="0.25">
      <c r="F31" s="33" t="s">
        <v>85</v>
      </c>
      <c r="I31" s="74" t="s">
        <v>177</v>
      </c>
      <c r="J31" s="74" t="s">
        <v>191</v>
      </c>
    </row>
    <row r="32" spans="6:10" x14ac:dyDescent="0.25">
      <c r="F32" s="19" t="s">
        <v>45</v>
      </c>
      <c r="I32" s="74" t="s">
        <v>192</v>
      </c>
      <c r="J32" s="74" t="s">
        <v>193</v>
      </c>
    </row>
    <row r="33" spans="6:10" x14ac:dyDescent="0.25">
      <c r="F33" s="25" t="s">
        <v>86</v>
      </c>
      <c r="I33" s="74" t="s">
        <v>194</v>
      </c>
      <c r="J33" s="74" t="s">
        <v>195</v>
      </c>
    </row>
    <row r="34" spans="6:10" x14ac:dyDescent="0.25">
      <c r="F34" s="33" t="s">
        <v>87</v>
      </c>
      <c r="I34" s="74" t="s">
        <v>196</v>
      </c>
      <c r="J34" s="74" t="s">
        <v>197</v>
      </c>
    </row>
    <row r="35" spans="6:10" ht="25.5" x14ac:dyDescent="0.25">
      <c r="F35" s="25" t="s">
        <v>88</v>
      </c>
      <c r="I35" s="74" t="s">
        <v>196</v>
      </c>
      <c r="J35" s="74" t="s">
        <v>198</v>
      </c>
    </row>
    <row r="36" spans="6:10" x14ac:dyDescent="0.25">
      <c r="F36" s="33" t="s">
        <v>89</v>
      </c>
      <c r="I36" s="74" t="s">
        <v>196</v>
      </c>
      <c r="J36" s="74" t="s">
        <v>199</v>
      </c>
    </row>
    <row r="37" spans="6:10" x14ac:dyDescent="0.25">
      <c r="F37" s="33" t="s">
        <v>90</v>
      </c>
      <c r="I37" s="74" t="s">
        <v>196</v>
      </c>
      <c r="J37" s="74" t="s">
        <v>200</v>
      </c>
    </row>
    <row r="38" spans="6:10" x14ac:dyDescent="0.25">
      <c r="F38" s="25" t="s">
        <v>91</v>
      </c>
      <c r="I38" s="74" t="s">
        <v>196</v>
      </c>
      <c r="J38" s="74" t="s">
        <v>201</v>
      </c>
    </row>
    <row r="39" spans="6:10" x14ac:dyDescent="0.25">
      <c r="F39" s="25" t="s">
        <v>92</v>
      </c>
      <c r="I39" s="74" t="s">
        <v>202</v>
      </c>
      <c r="J39" s="74" t="s">
        <v>203</v>
      </c>
    </row>
    <row r="40" spans="6:10" x14ac:dyDescent="0.25">
      <c r="F40" s="25" t="s">
        <v>12</v>
      </c>
      <c r="I40" s="74" t="s">
        <v>202</v>
      </c>
      <c r="J40" s="74" t="s">
        <v>204</v>
      </c>
    </row>
    <row r="41" spans="6:10" x14ac:dyDescent="0.25">
      <c r="F41" s="19" t="s">
        <v>46</v>
      </c>
      <c r="I41" s="74" t="s">
        <v>202</v>
      </c>
      <c r="J41" s="74" t="s">
        <v>205</v>
      </c>
    </row>
    <row r="42" spans="6:10" x14ac:dyDescent="0.25">
      <c r="F42" s="33" t="s">
        <v>94</v>
      </c>
      <c r="I42" s="74" t="s">
        <v>206</v>
      </c>
      <c r="J42" s="74" t="s">
        <v>202</v>
      </c>
    </row>
    <row r="43" spans="6:10" x14ac:dyDescent="0.25">
      <c r="F43" s="33" t="s">
        <v>95</v>
      </c>
      <c r="I43" s="74" t="s">
        <v>207</v>
      </c>
      <c r="J43" s="74" t="s">
        <v>208</v>
      </c>
    </row>
    <row r="44" spans="6:10" x14ac:dyDescent="0.25">
      <c r="F44" s="25" t="s">
        <v>96</v>
      </c>
      <c r="I44" s="74" t="s">
        <v>207</v>
      </c>
      <c r="J44" s="74" t="s">
        <v>209</v>
      </c>
    </row>
    <row r="45" spans="6:10" x14ac:dyDescent="0.25">
      <c r="F45" s="25" t="s">
        <v>35</v>
      </c>
      <c r="I45" s="74" t="s">
        <v>207</v>
      </c>
      <c r="J45" s="74" t="s">
        <v>210</v>
      </c>
    </row>
    <row r="46" spans="6:10" x14ac:dyDescent="0.25">
      <c r="F46" s="25" t="s">
        <v>33</v>
      </c>
      <c r="I46" s="74" t="s">
        <v>211</v>
      </c>
      <c r="J46" s="74" t="s">
        <v>212</v>
      </c>
    </row>
    <row r="47" spans="6:10" x14ac:dyDescent="0.25">
      <c r="F47" s="25" t="s">
        <v>34</v>
      </c>
      <c r="I47" s="74" t="s">
        <v>211</v>
      </c>
      <c r="J47" s="74" t="s">
        <v>213</v>
      </c>
    </row>
    <row r="48" spans="6:10" x14ac:dyDescent="0.25">
      <c r="F48" s="25" t="s">
        <v>97</v>
      </c>
      <c r="I48" s="74" t="s">
        <v>214</v>
      </c>
      <c r="J48" s="74" t="s">
        <v>215</v>
      </c>
    </row>
    <row r="49" spans="6:10" x14ac:dyDescent="0.25">
      <c r="F49" s="25" t="s">
        <v>98</v>
      </c>
      <c r="I49" s="74" t="s">
        <v>216</v>
      </c>
      <c r="J49" s="74" t="s">
        <v>217</v>
      </c>
    </row>
    <row r="50" spans="6:10" x14ac:dyDescent="0.25">
      <c r="F50" s="25" t="s">
        <v>99</v>
      </c>
      <c r="I50" s="74" t="s">
        <v>218</v>
      </c>
      <c r="J50" s="74" t="s">
        <v>219</v>
      </c>
    </row>
    <row r="51" spans="6:10" x14ac:dyDescent="0.25">
      <c r="F51" s="25" t="s">
        <v>100</v>
      </c>
      <c r="I51" s="74" t="s">
        <v>220</v>
      </c>
      <c r="J51" s="74" t="s">
        <v>221</v>
      </c>
    </row>
    <row r="52" spans="6:10" x14ac:dyDescent="0.25">
      <c r="F52" s="25" t="s">
        <v>101</v>
      </c>
      <c r="I52" s="74" t="s">
        <v>41</v>
      </c>
      <c r="J52" s="74" t="s">
        <v>222</v>
      </c>
    </row>
    <row r="53" spans="6:10" x14ac:dyDescent="0.25">
      <c r="F53" s="25" t="s">
        <v>102</v>
      </c>
      <c r="I53" s="74" t="s">
        <v>223</v>
      </c>
      <c r="J53" s="74" t="s">
        <v>224</v>
      </c>
    </row>
    <row r="54" spans="6:10" ht="25.5" x14ac:dyDescent="0.25">
      <c r="F54" s="25" t="s">
        <v>103</v>
      </c>
      <c r="I54" s="74" t="s">
        <v>225</v>
      </c>
      <c r="J54" s="74" t="s">
        <v>226</v>
      </c>
    </row>
    <row r="55" spans="6:10" x14ac:dyDescent="0.25">
      <c r="F55" s="25" t="s">
        <v>104</v>
      </c>
      <c r="I55" s="74" t="s">
        <v>225</v>
      </c>
      <c r="J55" s="74" t="s">
        <v>227</v>
      </c>
    </row>
    <row r="56" spans="6:10" x14ac:dyDescent="0.25">
      <c r="F56" s="25" t="s">
        <v>105</v>
      </c>
      <c r="I56" s="74" t="s">
        <v>225</v>
      </c>
      <c r="J56" s="74" t="s">
        <v>228</v>
      </c>
    </row>
    <row r="57" spans="6:10" x14ac:dyDescent="0.25">
      <c r="F57" s="25" t="s">
        <v>106</v>
      </c>
      <c r="I57" s="74" t="s">
        <v>225</v>
      </c>
      <c r="J57" s="74" t="s">
        <v>229</v>
      </c>
    </row>
    <row r="58" spans="6:10" x14ac:dyDescent="0.25">
      <c r="F58" s="33" t="s">
        <v>107</v>
      </c>
      <c r="I58" s="74" t="s">
        <v>225</v>
      </c>
      <c r="J58" s="74" t="s">
        <v>39</v>
      </c>
    </row>
    <row r="59" spans="6:10" x14ac:dyDescent="0.25">
      <c r="F59" s="33" t="s">
        <v>31</v>
      </c>
      <c r="I59" s="74" t="s">
        <v>225</v>
      </c>
      <c r="J59" s="74" t="s">
        <v>230</v>
      </c>
    </row>
    <row r="60" spans="6:10" x14ac:dyDescent="0.25">
      <c r="F60" s="33" t="s">
        <v>11</v>
      </c>
      <c r="I60" s="74" t="s">
        <v>231</v>
      </c>
      <c r="J60" s="74" t="s">
        <v>232</v>
      </c>
    </row>
    <row r="61" spans="6:10" ht="15.75" thickBot="1" x14ac:dyDescent="0.3">
      <c r="F61" s="39" t="s">
        <v>108</v>
      </c>
      <c r="I61" s="74" t="s">
        <v>233</v>
      </c>
      <c r="J61" s="74" t="s">
        <v>234</v>
      </c>
    </row>
    <row r="62" spans="6:10" x14ac:dyDescent="0.25">
      <c r="F62" s="15" t="s">
        <v>109</v>
      </c>
      <c r="I62" s="74" t="s">
        <v>235</v>
      </c>
      <c r="J62" s="74" t="s">
        <v>236</v>
      </c>
    </row>
    <row r="63" spans="6:10" x14ac:dyDescent="0.25">
      <c r="F63" s="19" t="s">
        <v>47</v>
      </c>
      <c r="I63" s="74" t="s">
        <v>40</v>
      </c>
      <c r="J63" s="74" t="s">
        <v>237</v>
      </c>
    </row>
    <row r="64" spans="6:10" x14ac:dyDescent="0.25">
      <c r="F64" s="33" t="s">
        <v>111</v>
      </c>
      <c r="I64" s="74" t="s">
        <v>238</v>
      </c>
      <c r="J64" s="74" t="s">
        <v>239</v>
      </c>
    </row>
    <row r="65" spans="6:10" x14ac:dyDescent="0.25">
      <c r="F65" s="33" t="s">
        <v>112</v>
      </c>
      <c r="I65" s="74" t="s">
        <v>240</v>
      </c>
      <c r="J65" s="74" t="s">
        <v>241</v>
      </c>
    </row>
    <row r="66" spans="6:10" x14ac:dyDescent="0.25">
      <c r="F66" s="19" t="s">
        <v>49</v>
      </c>
      <c r="I66" s="74" t="s">
        <v>240</v>
      </c>
      <c r="J66" s="74" t="s">
        <v>36</v>
      </c>
    </row>
    <row r="67" spans="6:10" x14ac:dyDescent="0.25">
      <c r="F67" s="45" t="s">
        <v>5</v>
      </c>
      <c r="I67" s="74" t="s">
        <v>242</v>
      </c>
      <c r="J67" s="74" t="s">
        <v>243</v>
      </c>
    </row>
    <row r="68" spans="6:10" x14ac:dyDescent="0.25">
      <c r="F68" s="25" t="s">
        <v>6</v>
      </c>
      <c r="I68" s="74" t="s">
        <v>244</v>
      </c>
      <c r="J68" s="74" t="s">
        <v>245</v>
      </c>
    </row>
    <row r="69" spans="6:10" x14ac:dyDescent="0.25">
      <c r="F69" s="25" t="s">
        <v>114</v>
      </c>
      <c r="I69" s="74" t="s">
        <v>246</v>
      </c>
      <c r="J69" s="74" t="s">
        <v>247</v>
      </c>
    </row>
    <row r="70" spans="6:10" x14ac:dyDescent="0.25">
      <c r="F70" s="25" t="s">
        <v>9</v>
      </c>
      <c r="I70" s="74" t="s">
        <v>248</v>
      </c>
      <c r="J70" s="74" t="s">
        <v>37</v>
      </c>
    </row>
    <row r="71" spans="6:10" x14ac:dyDescent="0.25">
      <c r="F71" s="25" t="s">
        <v>13</v>
      </c>
      <c r="I71" s="74" t="s">
        <v>249</v>
      </c>
      <c r="J71" s="74" t="s">
        <v>38</v>
      </c>
    </row>
    <row r="72" spans="6:10" x14ac:dyDescent="0.25">
      <c r="F72" s="19" t="s">
        <v>50</v>
      </c>
      <c r="I72" s="74" t="s">
        <v>250</v>
      </c>
      <c r="J72" s="74" t="s">
        <v>251</v>
      </c>
    </row>
    <row r="73" spans="6:10" x14ac:dyDescent="0.25">
      <c r="F73" s="33" t="s">
        <v>116</v>
      </c>
      <c r="I73" s="74" t="s">
        <v>250</v>
      </c>
      <c r="J73" s="74" t="s">
        <v>252</v>
      </c>
    </row>
    <row r="74" spans="6:10" x14ac:dyDescent="0.25">
      <c r="F74" s="33" t="s">
        <v>117</v>
      </c>
      <c r="I74" s="74" t="s">
        <v>253</v>
      </c>
      <c r="J74" s="74" t="s">
        <v>254</v>
      </c>
    </row>
    <row r="75" spans="6:10" x14ac:dyDescent="0.25">
      <c r="F75" s="33" t="s">
        <v>118</v>
      </c>
      <c r="I75" s="74" t="s">
        <v>255</v>
      </c>
      <c r="J75" s="74" t="s">
        <v>32</v>
      </c>
    </row>
    <row r="76" spans="6:10" x14ac:dyDescent="0.25">
      <c r="F76" s="33" t="s">
        <v>119</v>
      </c>
      <c r="I76" s="74" t="s">
        <v>256</v>
      </c>
      <c r="J76" s="74" t="s">
        <v>257</v>
      </c>
    </row>
    <row r="77" spans="6:10" x14ac:dyDescent="0.25">
      <c r="F77" s="33" t="s">
        <v>120</v>
      </c>
      <c r="I77" s="74" t="s">
        <v>258</v>
      </c>
      <c r="J77" s="74" t="s">
        <v>259</v>
      </c>
    </row>
    <row r="78" spans="6:10" x14ac:dyDescent="0.25">
      <c r="F78" s="33" t="s">
        <v>121</v>
      </c>
      <c r="I78" s="74" t="s">
        <v>260</v>
      </c>
      <c r="J78" s="74" t="s">
        <v>261</v>
      </c>
    </row>
    <row r="79" spans="6:10" x14ac:dyDescent="0.25">
      <c r="F79" s="19" t="s">
        <v>51</v>
      </c>
      <c r="I79" s="74" t="s">
        <v>262</v>
      </c>
      <c r="J79" s="74" t="s">
        <v>263</v>
      </c>
    </row>
    <row r="80" spans="6:10" x14ac:dyDescent="0.25">
      <c r="F80" s="33" t="s">
        <v>122</v>
      </c>
      <c r="I80" s="74" t="s">
        <v>262</v>
      </c>
      <c r="J80" s="74" t="s">
        <v>264</v>
      </c>
    </row>
    <row r="81" spans="6:10" x14ac:dyDescent="0.25">
      <c r="F81" s="33" t="s">
        <v>123</v>
      </c>
      <c r="I81" s="74" t="s">
        <v>262</v>
      </c>
      <c r="J81" s="74" t="s">
        <v>265</v>
      </c>
    </row>
    <row r="82" spans="6:10" x14ac:dyDescent="0.25">
      <c r="F82" s="33" t="s">
        <v>8</v>
      </c>
      <c r="I82" s="74" t="s">
        <v>266</v>
      </c>
      <c r="J82" s="74" t="s">
        <v>267</v>
      </c>
    </row>
    <row r="83" spans="6:10" x14ac:dyDescent="0.25">
      <c r="F83" s="33" t="s">
        <v>7</v>
      </c>
      <c r="I83" s="74" t="s">
        <v>268</v>
      </c>
      <c r="J83" s="74" t="s">
        <v>269</v>
      </c>
    </row>
    <row r="84" spans="6:10" x14ac:dyDescent="0.25">
      <c r="F84" s="19" t="s">
        <v>52</v>
      </c>
      <c r="I84" s="74" t="s">
        <v>268</v>
      </c>
      <c r="J84" s="74" t="s">
        <v>270</v>
      </c>
    </row>
    <row r="85" spans="6:10" x14ac:dyDescent="0.25">
      <c r="F85" s="33" t="s">
        <v>125</v>
      </c>
      <c r="I85" s="74" t="s">
        <v>268</v>
      </c>
      <c r="J85" s="74" t="s">
        <v>16</v>
      </c>
    </row>
    <row r="86" spans="6:10" x14ac:dyDescent="0.25">
      <c r="F86" s="71" t="s">
        <v>126</v>
      </c>
      <c r="I86" s="74" t="s">
        <v>271</v>
      </c>
      <c r="J86" s="74" t="s">
        <v>272</v>
      </c>
    </row>
    <row r="87" spans="6:10" x14ac:dyDescent="0.25">
      <c r="F87" s="33" t="s">
        <v>27</v>
      </c>
      <c r="I87" s="74" t="s">
        <v>273</v>
      </c>
      <c r="J87" s="74" t="s">
        <v>274</v>
      </c>
    </row>
    <row r="88" spans="6:10" x14ac:dyDescent="0.25">
      <c r="F88" s="33" t="s">
        <v>127</v>
      </c>
      <c r="I88" s="74" t="s">
        <v>273</v>
      </c>
      <c r="J88" s="74" t="s">
        <v>15</v>
      </c>
    </row>
    <row r="89" spans="6:10" x14ac:dyDescent="0.25">
      <c r="F89" s="33" t="s">
        <v>128</v>
      </c>
      <c r="I89" s="74" t="s">
        <v>273</v>
      </c>
      <c r="J89" s="74" t="s">
        <v>275</v>
      </c>
    </row>
    <row r="90" spans="6:10" x14ac:dyDescent="0.25">
      <c r="F90" s="33" t="s">
        <v>129</v>
      </c>
      <c r="I90" s="74" t="s">
        <v>276</v>
      </c>
      <c r="J90" s="74" t="s">
        <v>17</v>
      </c>
    </row>
    <row r="91" spans="6:10" x14ac:dyDescent="0.25">
      <c r="F91" s="33" t="s">
        <v>29</v>
      </c>
      <c r="I91" s="74" t="s">
        <v>112</v>
      </c>
      <c r="J91" s="74" t="s">
        <v>18</v>
      </c>
    </row>
    <row r="92" spans="6:10" x14ac:dyDescent="0.25">
      <c r="F92" s="33" t="s">
        <v>146</v>
      </c>
      <c r="I92" s="74" t="s">
        <v>277</v>
      </c>
      <c r="J92" s="74" t="s">
        <v>278</v>
      </c>
    </row>
    <row r="93" spans="6:10" x14ac:dyDescent="0.25">
      <c r="F93" s="19" t="s">
        <v>130</v>
      </c>
      <c r="I93" s="74" t="s">
        <v>271</v>
      </c>
      <c r="J93" s="74" t="s">
        <v>279</v>
      </c>
    </row>
    <row r="94" spans="6:10" x14ac:dyDescent="0.25">
      <c r="F94" s="25" t="s">
        <v>132</v>
      </c>
      <c r="I94" s="74" t="s">
        <v>271</v>
      </c>
      <c r="J94" s="74" t="s">
        <v>280</v>
      </c>
    </row>
    <row r="95" spans="6:10" x14ac:dyDescent="0.25">
      <c r="F95" s="25" t="s">
        <v>133</v>
      </c>
      <c r="I95" s="74" t="s">
        <v>271</v>
      </c>
      <c r="J95" s="74" t="s">
        <v>281</v>
      </c>
    </row>
    <row r="96" spans="6:10" x14ac:dyDescent="0.25">
      <c r="F96" s="25" t="s">
        <v>134</v>
      </c>
      <c r="I96" s="74" t="s">
        <v>282</v>
      </c>
      <c r="J96" s="74" t="s">
        <v>283</v>
      </c>
    </row>
    <row r="97" spans="6:10" x14ac:dyDescent="0.25">
      <c r="F97" s="19" t="s">
        <v>53</v>
      </c>
      <c r="I97" s="74" t="s">
        <v>284</v>
      </c>
      <c r="J97" s="74" t="s">
        <v>285</v>
      </c>
    </row>
    <row r="98" spans="6:10" x14ac:dyDescent="0.25">
      <c r="F98" s="71" t="s">
        <v>136</v>
      </c>
      <c r="I98" s="74" t="s">
        <v>286</v>
      </c>
      <c r="J98" s="74" t="s">
        <v>287</v>
      </c>
    </row>
    <row r="99" spans="6:10" ht="15.75" thickBot="1" x14ac:dyDescent="0.3">
      <c r="F99" s="49" t="s">
        <v>137</v>
      </c>
      <c r="I99" s="74" t="s">
        <v>288</v>
      </c>
      <c r="J99" s="74" t="s">
        <v>289</v>
      </c>
    </row>
    <row r="100" spans="6:10" x14ac:dyDescent="0.25">
      <c r="I100" s="74" t="s">
        <v>290</v>
      </c>
      <c r="J100" s="74" t="s">
        <v>291</v>
      </c>
    </row>
    <row r="101" spans="6:10" x14ac:dyDescent="0.25">
      <c r="I101" s="74" t="s">
        <v>292</v>
      </c>
      <c r="J101" s="74" t="s">
        <v>293</v>
      </c>
    </row>
    <row r="102" spans="6:10" x14ac:dyDescent="0.25">
      <c r="I102" s="74" t="s">
        <v>294</v>
      </c>
      <c r="J102" s="74" t="s">
        <v>295</v>
      </c>
    </row>
    <row r="103" spans="6:10" x14ac:dyDescent="0.25">
      <c r="I103" s="74" t="s">
        <v>296</v>
      </c>
      <c r="J103" s="74" t="s">
        <v>297</v>
      </c>
    </row>
    <row r="104" spans="6:10" x14ac:dyDescent="0.25">
      <c r="I104" s="74" t="s">
        <v>298</v>
      </c>
      <c r="J104" s="74" t="s">
        <v>299</v>
      </c>
    </row>
    <row r="105" spans="6:10" x14ac:dyDescent="0.25">
      <c r="I105" s="74" t="s">
        <v>300</v>
      </c>
      <c r="J105" s="74" t="s">
        <v>301</v>
      </c>
    </row>
    <row r="106" spans="6:10" x14ac:dyDescent="0.25">
      <c r="I106" s="74" t="s">
        <v>302</v>
      </c>
      <c r="J106" s="74" t="s">
        <v>303</v>
      </c>
    </row>
    <row r="107" spans="6:10" x14ac:dyDescent="0.25">
      <c r="I107" s="74" t="s">
        <v>302</v>
      </c>
      <c r="J107" s="74" t="s">
        <v>304</v>
      </c>
    </row>
    <row r="108" spans="6:10" x14ac:dyDescent="0.25">
      <c r="I108" s="74" t="s">
        <v>305</v>
      </c>
      <c r="J108" s="74" t="s">
        <v>306</v>
      </c>
    </row>
    <row r="109" spans="6:10" x14ac:dyDescent="0.25">
      <c r="I109" s="74" t="s">
        <v>307</v>
      </c>
      <c r="J109" s="74" t="s">
        <v>308</v>
      </c>
    </row>
    <row r="110" spans="6:10" x14ac:dyDescent="0.25">
      <c r="I110" s="74" t="s">
        <v>309</v>
      </c>
      <c r="J110" s="74" t="s">
        <v>310</v>
      </c>
    </row>
    <row r="111" spans="6:10" x14ac:dyDescent="0.25">
      <c r="I111" s="74" t="s">
        <v>294</v>
      </c>
      <c r="J111" s="74" t="s">
        <v>311</v>
      </c>
    </row>
    <row r="112" spans="6:10" x14ac:dyDescent="0.25">
      <c r="I112" s="74" t="s">
        <v>312</v>
      </c>
      <c r="J112" s="74" t="s">
        <v>313</v>
      </c>
    </row>
    <row r="113" spans="9:10" x14ac:dyDescent="0.25">
      <c r="I113" s="74" t="s">
        <v>312</v>
      </c>
      <c r="J113" s="74" t="s">
        <v>314</v>
      </c>
    </row>
    <row r="114" spans="9:10" x14ac:dyDescent="0.25">
      <c r="I114" s="74" t="s">
        <v>315</v>
      </c>
      <c r="J114" s="74" t="s">
        <v>316</v>
      </c>
    </row>
    <row r="115" spans="9:10" x14ac:dyDescent="0.25">
      <c r="I115" s="74" t="s">
        <v>315</v>
      </c>
      <c r="J115" s="74" t="s">
        <v>317</v>
      </c>
    </row>
    <row r="116" spans="9:10" x14ac:dyDescent="0.25">
      <c r="I116" s="74" t="s">
        <v>315</v>
      </c>
      <c r="J116" s="74" t="s">
        <v>318</v>
      </c>
    </row>
    <row r="117" spans="9:10" x14ac:dyDescent="0.25">
      <c r="I117" s="74" t="s">
        <v>315</v>
      </c>
      <c r="J117" s="74" t="s">
        <v>319</v>
      </c>
    </row>
    <row r="118" spans="9:10" x14ac:dyDescent="0.25">
      <c r="I118" s="74" t="s">
        <v>315</v>
      </c>
      <c r="J118" s="74" t="s">
        <v>320</v>
      </c>
    </row>
    <row r="119" spans="9:10" x14ac:dyDescent="0.25">
      <c r="I119" s="74" t="s">
        <v>321</v>
      </c>
      <c r="J119" s="74" t="s">
        <v>322</v>
      </c>
    </row>
    <row r="120" spans="9:10" x14ac:dyDescent="0.25">
      <c r="I120" s="74" t="s">
        <v>323</v>
      </c>
      <c r="J120" s="74" t="s">
        <v>324</v>
      </c>
    </row>
    <row r="121" spans="9:10" x14ac:dyDescent="0.25">
      <c r="I121" s="74" t="s">
        <v>323</v>
      </c>
      <c r="J121" s="74" t="s">
        <v>325</v>
      </c>
    </row>
    <row r="122" spans="9:10" x14ac:dyDescent="0.25">
      <c r="I122" s="74" t="s">
        <v>323</v>
      </c>
      <c r="J122" s="74" t="s">
        <v>326</v>
      </c>
    </row>
    <row r="123" spans="9:10" x14ac:dyDescent="0.25">
      <c r="I123" s="74" t="s">
        <v>327</v>
      </c>
      <c r="J123" s="74" t="s">
        <v>328</v>
      </c>
    </row>
    <row r="124" spans="9:10" x14ac:dyDescent="0.25">
      <c r="I124" s="74" t="s">
        <v>329</v>
      </c>
      <c r="J124" s="74" t="s">
        <v>330</v>
      </c>
    </row>
    <row r="125" spans="9:10" x14ac:dyDescent="0.25">
      <c r="I125" s="74" t="s">
        <v>331</v>
      </c>
      <c r="J125" s="74" t="s">
        <v>332</v>
      </c>
    </row>
    <row r="126" spans="9:10" x14ac:dyDescent="0.25">
      <c r="I126" s="74" t="s">
        <v>331</v>
      </c>
      <c r="J126" s="74" t="s">
        <v>333</v>
      </c>
    </row>
    <row r="127" spans="9:10" x14ac:dyDescent="0.25">
      <c r="I127" s="74" t="s">
        <v>334</v>
      </c>
      <c r="J127" s="74" t="s">
        <v>335</v>
      </c>
    </row>
    <row r="128" spans="9:10" x14ac:dyDescent="0.25">
      <c r="I128" s="74" t="s">
        <v>336</v>
      </c>
      <c r="J128" s="74" t="s">
        <v>337</v>
      </c>
    </row>
    <row r="129" spans="9:10" x14ac:dyDescent="0.25">
      <c r="I129" s="74" t="s">
        <v>338</v>
      </c>
      <c r="J129" s="74" t="s">
        <v>339</v>
      </c>
    </row>
    <row r="130" spans="9:10" x14ac:dyDescent="0.25">
      <c r="I130" s="74" t="s">
        <v>340</v>
      </c>
      <c r="J130" s="74" t="s">
        <v>341</v>
      </c>
    </row>
    <row r="131" spans="9:10" x14ac:dyDescent="0.25">
      <c r="I131" s="74" t="s">
        <v>342</v>
      </c>
      <c r="J131" s="74" t="s">
        <v>343</v>
      </c>
    </row>
    <row r="132" spans="9:10" x14ac:dyDescent="0.25">
      <c r="I132" s="74" t="s">
        <v>344</v>
      </c>
      <c r="J132" s="74" t="s">
        <v>345</v>
      </c>
    </row>
    <row r="133" spans="9:10" x14ac:dyDescent="0.25">
      <c r="I133" s="74" t="s">
        <v>346</v>
      </c>
      <c r="J133" s="74" t="s">
        <v>347</v>
      </c>
    </row>
    <row r="134" spans="9:10" x14ac:dyDescent="0.25">
      <c r="I134" s="74" t="s">
        <v>348</v>
      </c>
      <c r="J134" s="74" t="s">
        <v>349</v>
      </c>
    </row>
    <row r="135" spans="9:10" x14ac:dyDescent="0.25">
      <c r="I135" s="74" t="s">
        <v>350</v>
      </c>
      <c r="J135" s="74" t="s">
        <v>351</v>
      </c>
    </row>
    <row r="136" spans="9:10" x14ac:dyDescent="0.25">
      <c r="I136" s="74" t="s">
        <v>350</v>
      </c>
      <c r="J136" s="74" t="s">
        <v>352</v>
      </c>
    </row>
    <row r="137" spans="9:10" x14ac:dyDescent="0.25">
      <c r="I137" s="74" t="s">
        <v>353</v>
      </c>
      <c r="J137" s="74"/>
    </row>
    <row r="138" spans="9:10" x14ac:dyDescent="0.25">
      <c r="I138" s="74" t="s">
        <v>353</v>
      </c>
      <c r="J138" s="74"/>
    </row>
    <row r="139" spans="9:10" x14ac:dyDescent="0.25">
      <c r="I139" s="74" t="s">
        <v>353</v>
      </c>
      <c r="J139" s="74" t="s">
        <v>354</v>
      </c>
    </row>
    <row r="140" spans="9:10" x14ac:dyDescent="0.25">
      <c r="I140" s="74" t="s">
        <v>353</v>
      </c>
      <c r="J140" s="74" t="s">
        <v>355</v>
      </c>
    </row>
    <row r="141" spans="9:10" x14ac:dyDescent="0.25">
      <c r="I141" s="74" t="s">
        <v>356</v>
      </c>
      <c r="J141" s="74" t="s">
        <v>24</v>
      </c>
    </row>
    <row r="142" spans="9:10" x14ac:dyDescent="0.25">
      <c r="I142" s="74" t="s">
        <v>356</v>
      </c>
      <c r="J142" s="74" t="s">
        <v>357</v>
      </c>
    </row>
    <row r="143" spans="9:10" x14ac:dyDescent="0.25">
      <c r="I143" s="74" t="s">
        <v>358</v>
      </c>
      <c r="J143" s="74" t="s">
        <v>359</v>
      </c>
    </row>
    <row r="144" spans="9:10" x14ac:dyDescent="0.25">
      <c r="I144" s="74" t="s">
        <v>360</v>
      </c>
      <c r="J144" s="74" t="s">
        <v>361</v>
      </c>
    </row>
    <row r="145" spans="9:10" x14ac:dyDescent="0.25">
      <c r="I145" s="74" t="s">
        <v>360</v>
      </c>
      <c r="J145" s="74" t="s">
        <v>362</v>
      </c>
    </row>
    <row r="146" spans="9:10" x14ac:dyDescent="0.25">
      <c r="I146" s="74" t="s">
        <v>360</v>
      </c>
      <c r="J146" s="74" t="s">
        <v>363</v>
      </c>
    </row>
    <row r="147" spans="9:10" x14ac:dyDescent="0.25">
      <c r="I147" s="74" t="s">
        <v>360</v>
      </c>
      <c r="J147" s="74" t="s">
        <v>364</v>
      </c>
    </row>
    <row r="148" spans="9:10" x14ac:dyDescent="0.25">
      <c r="I148" s="74" t="s">
        <v>360</v>
      </c>
      <c r="J148" s="74" t="s">
        <v>365</v>
      </c>
    </row>
    <row r="149" spans="9:10" x14ac:dyDescent="0.25">
      <c r="I149" s="74" t="s">
        <v>358</v>
      </c>
      <c r="J149" s="74" t="s">
        <v>22</v>
      </c>
    </row>
    <row r="150" spans="9:10" x14ac:dyDescent="0.25">
      <c r="I150" s="74" t="s">
        <v>366</v>
      </c>
      <c r="J150" s="74" t="s">
        <v>367</v>
      </c>
    </row>
    <row r="151" spans="9:10" x14ac:dyDescent="0.25">
      <c r="I151" s="74" t="s">
        <v>366</v>
      </c>
      <c r="J151" s="74" t="s">
        <v>23</v>
      </c>
    </row>
    <row r="152" spans="9:10" x14ac:dyDescent="0.25">
      <c r="I152" s="74" t="s">
        <v>366</v>
      </c>
      <c r="J152" s="74" t="s">
        <v>368</v>
      </c>
    </row>
    <row r="153" spans="9:10" x14ac:dyDescent="0.25">
      <c r="I153" s="74" t="s">
        <v>369</v>
      </c>
      <c r="J153" s="74" t="s">
        <v>370</v>
      </c>
    </row>
    <row r="154" spans="9:10" x14ac:dyDescent="0.25">
      <c r="I154" s="74" t="s">
        <v>371</v>
      </c>
      <c r="J154" s="74" t="s">
        <v>372</v>
      </c>
    </row>
    <row r="155" spans="9:10" x14ac:dyDescent="0.25">
      <c r="I155" s="74" t="s">
        <v>371</v>
      </c>
      <c r="J155" s="74" t="s">
        <v>373</v>
      </c>
    </row>
    <row r="156" spans="9:10" x14ac:dyDescent="0.25">
      <c r="I156" s="74" t="s">
        <v>371</v>
      </c>
      <c r="J156" s="74" t="s">
        <v>374</v>
      </c>
    </row>
    <row r="157" spans="9:10" x14ac:dyDescent="0.25">
      <c r="I157" s="74" t="s">
        <v>375</v>
      </c>
      <c r="J157" s="74" t="s">
        <v>376</v>
      </c>
    </row>
    <row r="158" spans="9:10" x14ac:dyDescent="0.25">
      <c r="I158" s="74" t="s">
        <v>28</v>
      </c>
      <c r="J158" s="74" t="s">
        <v>377</v>
      </c>
    </row>
    <row r="159" spans="9:10" x14ac:dyDescent="0.25">
      <c r="I159" s="74" t="s">
        <v>125</v>
      </c>
      <c r="J159" s="74" t="s">
        <v>378</v>
      </c>
    </row>
    <row r="160" spans="9:10" x14ac:dyDescent="0.25">
      <c r="I160" s="74" t="s">
        <v>125</v>
      </c>
      <c r="J160" s="74" t="s">
        <v>379</v>
      </c>
    </row>
    <row r="161" spans="9:10" x14ac:dyDescent="0.25">
      <c r="I161" s="74" t="s">
        <v>125</v>
      </c>
      <c r="J161" s="74" t="s">
        <v>380</v>
      </c>
    </row>
    <row r="162" spans="9:10" x14ac:dyDescent="0.25">
      <c r="I162" s="74" t="s">
        <v>125</v>
      </c>
      <c r="J162" s="74" t="s">
        <v>381</v>
      </c>
    </row>
    <row r="163" spans="9:10" x14ac:dyDescent="0.25">
      <c r="I163" s="74" t="s">
        <v>125</v>
      </c>
      <c r="J163" s="74" t="s">
        <v>382</v>
      </c>
    </row>
    <row r="164" spans="9:10" x14ac:dyDescent="0.25">
      <c r="I164" s="74" t="s">
        <v>125</v>
      </c>
      <c r="J164" s="74" t="s">
        <v>383</v>
      </c>
    </row>
    <row r="165" spans="9:10" x14ac:dyDescent="0.25">
      <c r="I165" s="74" t="s">
        <v>384</v>
      </c>
      <c r="J165" s="74" t="s">
        <v>26</v>
      </c>
    </row>
    <row r="166" spans="9:10" x14ac:dyDescent="0.25">
      <c r="I166" s="74" t="s">
        <v>384</v>
      </c>
      <c r="J166" s="74" t="s">
        <v>25</v>
      </c>
    </row>
    <row r="167" spans="9:10" x14ac:dyDescent="0.25">
      <c r="I167" s="74" t="s">
        <v>384</v>
      </c>
      <c r="J167" s="74" t="s">
        <v>385</v>
      </c>
    </row>
    <row r="168" spans="9:10" x14ac:dyDescent="0.25">
      <c r="I168" s="74" t="s">
        <v>386</v>
      </c>
      <c r="J168" s="74" t="s">
        <v>387</v>
      </c>
    </row>
    <row r="169" spans="9:10" x14ac:dyDescent="0.25">
      <c r="I169" s="74" t="s">
        <v>388</v>
      </c>
      <c r="J169" s="74" t="s">
        <v>389</v>
      </c>
    </row>
    <row r="170" spans="9:10" x14ac:dyDescent="0.25">
      <c r="I170" s="74" t="s">
        <v>127</v>
      </c>
      <c r="J170" s="74" t="s">
        <v>390</v>
      </c>
    </row>
    <row r="171" spans="9:10" x14ac:dyDescent="0.25">
      <c r="I171" s="74" t="s">
        <v>127</v>
      </c>
      <c r="J171" s="74" t="s">
        <v>391</v>
      </c>
    </row>
    <row r="172" spans="9:10" x14ac:dyDescent="0.25">
      <c r="I172" s="74" t="s">
        <v>127</v>
      </c>
      <c r="J172" s="74" t="s">
        <v>392</v>
      </c>
    </row>
    <row r="173" spans="9:10" x14ac:dyDescent="0.25">
      <c r="I173" s="74" t="s">
        <v>128</v>
      </c>
      <c r="J173" s="74" t="s">
        <v>393</v>
      </c>
    </row>
    <row r="174" spans="9:10" x14ac:dyDescent="0.25">
      <c r="I174" s="74" t="s">
        <v>128</v>
      </c>
      <c r="J174" s="74" t="s">
        <v>394</v>
      </c>
    </row>
    <row r="175" spans="9:10" x14ac:dyDescent="0.25">
      <c r="I175" s="74" t="s">
        <v>128</v>
      </c>
      <c r="J175" s="74" t="s">
        <v>395</v>
      </c>
    </row>
    <row r="176" spans="9:10" x14ac:dyDescent="0.25">
      <c r="I176" s="74" t="s">
        <v>128</v>
      </c>
      <c r="J176" s="74" t="s">
        <v>396</v>
      </c>
    </row>
    <row r="177" spans="9:10" x14ac:dyDescent="0.25">
      <c r="I177" s="74" t="s">
        <v>128</v>
      </c>
      <c r="J177" s="74" t="s">
        <v>397</v>
      </c>
    </row>
    <row r="178" spans="9:10" x14ac:dyDescent="0.25">
      <c r="I178" s="74" t="s">
        <v>128</v>
      </c>
      <c r="J178" s="74" t="s">
        <v>398</v>
      </c>
    </row>
    <row r="179" spans="9:10" x14ac:dyDescent="0.25">
      <c r="I179" s="74" t="s">
        <v>128</v>
      </c>
      <c r="J179" s="74" t="s">
        <v>399</v>
      </c>
    </row>
    <row r="180" spans="9:10" x14ac:dyDescent="0.25">
      <c r="I180" s="74" t="s">
        <v>128</v>
      </c>
      <c r="J180" s="74" t="s">
        <v>400</v>
      </c>
    </row>
    <row r="181" spans="9:10" x14ac:dyDescent="0.25">
      <c r="I181" s="74" t="s">
        <v>21</v>
      </c>
      <c r="J181" s="74" t="s">
        <v>401</v>
      </c>
    </row>
    <row r="182" spans="9:10" x14ac:dyDescent="0.25">
      <c r="I182" s="74" t="s">
        <v>21</v>
      </c>
      <c r="J182" s="74" t="s">
        <v>402</v>
      </c>
    </row>
    <row r="183" spans="9:10" x14ac:dyDescent="0.25">
      <c r="I183" s="74" t="s">
        <v>21</v>
      </c>
      <c r="J183" s="74" t="s">
        <v>403</v>
      </c>
    </row>
    <row r="184" spans="9:10" x14ac:dyDescent="0.25">
      <c r="I184" s="74" t="s">
        <v>21</v>
      </c>
      <c r="J184" s="74" t="s">
        <v>404</v>
      </c>
    </row>
    <row r="185" spans="9:10" x14ac:dyDescent="0.25">
      <c r="I185" s="74" t="s">
        <v>405</v>
      </c>
      <c r="J185" s="74" t="s">
        <v>406</v>
      </c>
    </row>
    <row r="186" spans="9:10" x14ac:dyDescent="0.25">
      <c r="I186" s="74" t="s">
        <v>405</v>
      </c>
      <c r="J186" s="74" t="s">
        <v>407</v>
      </c>
    </row>
    <row r="187" spans="9:10" x14ac:dyDescent="0.25">
      <c r="I187" s="74" t="s">
        <v>405</v>
      </c>
      <c r="J187" s="74" t="s">
        <v>408</v>
      </c>
    </row>
    <row r="188" spans="9:10" x14ac:dyDescent="0.25">
      <c r="I188" s="74" t="s">
        <v>409</v>
      </c>
      <c r="J188" s="74" t="s">
        <v>19</v>
      </c>
    </row>
    <row r="189" spans="9:10" x14ac:dyDescent="0.25">
      <c r="I189" s="74" t="s">
        <v>410</v>
      </c>
      <c r="J189" s="74" t="s">
        <v>20</v>
      </c>
    </row>
    <row r="190" spans="9:10" x14ac:dyDescent="0.25">
      <c r="I190" s="74" t="s">
        <v>14</v>
      </c>
      <c r="J190" s="74" t="s">
        <v>411</v>
      </c>
    </row>
    <row r="191" spans="9:10" x14ac:dyDescent="0.25">
      <c r="I191" s="75" t="s">
        <v>128</v>
      </c>
      <c r="J191" s="75" t="s">
        <v>304</v>
      </c>
    </row>
    <row r="192" spans="9:10" x14ac:dyDescent="0.25">
      <c r="I192" s="75" t="s">
        <v>127</v>
      </c>
      <c r="J192" s="75" t="s">
        <v>304</v>
      </c>
    </row>
    <row r="193" spans="9:10" x14ac:dyDescent="0.25">
      <c r="I193" s="75" t="s">
        <v>384</v>
      </c>
      <c r="J193" s="75" t="s">
        <v>304</v>
      </c>
    </row>
    <row r="194" spans="9:10" x14ac:dyDescent="0.25">
      <c r="I194" s="75" t="s">
        <v>125</v>
      </c>
      <c r="J194" s="75" t="s">
        <v>304</v>
      </c>
    </row>
    <row r="195" spans="9:10" x14ac:dyDescent="0.25">
      <c r="I195" s="75" t="s">
        <v>366</v>
      </c>
      <c r="J195" s="75" t="s">
        <v>304</v>
      </c>
    </row>
    <row r="196" spans="9:10" x14ac:dyDescent="0.25">
      <c r="I196" s="75" t="s">
        <v>360</v>
      </c>
      <c r="J196" s="75" t="s">
        <v>304</v>
      </c>
    </row>
    <row r="197" spans="9:10" x14ac:dyDescent="0.25">
      <c r="I197" s="75" t="s">
        <v>358</v>
      </c>
      <c r="J197" s="75" t="s">
        <v>304</v>
      </c>
    </row>
    <row r="198" spans="9:10" x14ac:dyDescent="0.25">
      <c r="I198" s="75" t="s">
        <v>356</v>
      </c>
      <c r="J198" s="75" t="s">
        <v>304</v>
      </c>
    </row>
    <row r="199" spans="9:10" x14ac:dyDescent="0.25">
      <c r="I199" s="75" t="s">
        <v>353</v>
      </c>
      <c r="J199" s="75" t="s">
        <v>304</v>
      </c>
    </row>
    <row r="200" spans="9:10" x14ac:dyDescent="0.25">
      <c r="I200" s="75" t="s">
        <v>350</v>
      </c>
      <c r="J200" s="75" t="s">
        <v>304</v>
      </c>
    </row>
    <row r="201" spans="9:10" x14ac:dyDescent="0.25">
      <c r="I201" s="75" t="s">
        <v>323</v>
      </c>
      <c r="J201" s="75" t="s">
        <v>304</v>
      </c>
    </row>
    <row r="202" spans="9:10" x14ac:dyDescent="0.25">
      <c r="I202" s="75" t="s">
        <v>315</v>
      </c>
      <c r="J202" s="75" t="s">
        <v>304</v>
      </c>
    </row>
    <row r="203" spans="9:10" x14ac:dyDescent="0.25">
      <c r="I203" s="75" t="s">
        <v>302</v>
      </c>
      <c r="J203" s="75" t="s">
        <v>304</v>
      </c>
    </row>
    <row r="204" spans="9:10" x14ac:dyDescent="0.25">
      <c r="I204" s="75" t="s">
        <v>294</v>
      </c>
      <c r="J204" s="75" t="s">
        <v>304</v>
      </c>
    </row>
    <row r="205" spans="9:10" x14ac:dyDescent="0.25">
      <c r="I205" s="75" t="s">
        <v>112</v>
      </c>
      <c r="J205" s="75" t="s">
        <v>304</v>
      </c>
    </row>
    <row r="206" spans="9:10" x14ac:dyDescent="0.25">
      <c r="I206" s="75" t="s">
        <v>271</v>
      </c>
      <c r="J206" s="75" t="s">
        <v>304</v>
      </c>
    </row>
    <row r="207" spans="9:10" x14ac:dyDescent="0.25">
      <c r="I207" s="75" t="s">
        <v>14</v>
      </c>
      <c r="J207" s="75" t="s">
        <v>304</v>
      </c>
    </row>
    <row r="208" spans="9:10" x14ac:dyDescent="0.25">
      <c r="I208" s="75" t="s">
        <v>262</v>
      </c>
      <c r="J208" s="75" t="s">
        <v>304</v>
      </c>
    </row>
    <row r="209" spans="9:10" x14ac:dyDescent="0.25">
      <c r="I209" s="75" t="s">
        <v>202</v>
      </c>
      <c r="J209" s="75" t="s">
        <v>304</v>
      </c>
    </row>
    <row r="210" spans="9:10" x14ac:dyDescent="0.25">
      <c r="I210" s="75" t="s">
        <v>196</v>
      </c>
      <c r="J210" s="75" t="s">
        <v>304</v>
      </c>
    </row>
    <row r="211" spans="9:10" x14ac:dyDescent="0.25">
      <c r="I211" s="75" t="s">
        <v>177</v>
      </c>
      <c r="J211" s="75" t="s">
        <v>304</v>
      </c>
    </row>
    <row r="212" spans="9:10" x14ac:dyDescent="0.25">
      <c r="I212" s="75" t="s">
        <v>161</v>
      </c>
      <c r="J212" s="75" t="s">
        <v>304</v>
      </c>
    </row>
    <row r="213" spans="9:10" x14ac:dyDescent="0.25">
      <c r="I213" s="75" t="s">
        <v>75</v>
      </c>
      <c r="J213" s="75" t="s">
        <v>304</v>
      </c>
    </row>
    <row r="214" spans="9:10" x14ac:dyDescent="0.25">
      <c r="I214" s="75" t="s">
        <v>21</v>
      </c>
      <c r="J214" s="75" t="s">
        <v>304</v>
      </c>
    </row>
    <row r="215" spans="9:10" x14ac:dyDescent="0.25">
      <c r="I215" s="75" t="s">
        <v>405</v>
      </c>
      <c r="J215" s="75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2:AM108"/>
  <sheetViews>
    <sheetView topLeftCell="A6" zoomScale="85" zoomScaleNormal="85" zoomScaleSheetLayoutView="85" workbookViewId="0">
      <pane xSplit="4" ySplit="6" topLeftCell="E12" activePane="bottomRight" state="frozen"/>
      <selection activeCell="A9" sqref="A9"/>
      <selection pane="topRight" activeCell="E9" sqref="E9"/>
      <selection pane="bottomLeft" activeCell="A12" sqref="A12"/>
      <selection pane="bottomRight" activeCell="U12" sqref="U12"/>
    </sheetView>
  </sheetViews>
  <sheetFormatPr defaultRowHeight="18.75" outlineLevelRow="1" x14ac:dyDescent="0.3"/>
  <cols>
    <col min="1" max="1" width="9.140625" style="80"/>
    <col min="2" max="2" width="10" style="84" bestFit="1" customWidth="1"/>
    <col min="3" max="3" width="19.140625" style="80" customWidth="1"/>
    <col min="4" max="4" width="42.42578125" style="80" customWidth="1"/>
    <col min="5" max="7" width="10.85546875" style="80" customWidth="1"/>
    <col min="8" max="12" width="12" style="83" customWidth="1"/>
    <col min="13" max="13" width="14" style="82" customWidth="1"/>
    <col min="14" max="18" width="12.5703125" style="83" customWidth="1"/>
    <col min="19" max="19" width="14.5703125" style="82" customWidth="1"/>
    <col min="20" max="20" width="18.140625" style="81" customWidth="1"/>
    <col min="21" max="21" width="16.85546875" style="80" customWidth="1"/>
    <col min="22" max="22" width="17.85546875" style="80" customWidth="1"/>
    <col min="23" max="23" width="16.85546875" style="80" customWidth="1"/>
    <col min="24" max="24" width="17.85546875" style="80" customWidth="1"/>
    <col min="25" max="25" width="16.85546875" style="80" customWidth="1"/>
    <col min="26" max="26" width="17.85546875" style="80" customWidth="1"/>
    <col min="27" max="27" width="9.140625" style="80" customWidth="1"/>
    <col min="28" max="39" width="21.7109375" style="80" customWidth="1"/>
    <col min="40" max="16384" width="9.140625" style="80"/>
  </cols>
  <sheetData>
    <row r="2" spans="2:39" ht="190.5" customHeight="1" x14ac:dyDescent="0.25">
      <c r="D2" s="280"/>
      <c r="E2" s="281"/>
      <c r="F2" s="281"/>
      <c r="G2" s="280"/>
      <c r="H2" s="281"/>
      <c r="I2" s="281"/>
      <c r="J2" s="280"/>
      <c r="K2" s="281"/>
      <c r="L2" s="281"/>
      <c r="M2" s="280"/>
      <c r="N2" s="281"/>
      <c r="O2" s="281"/>
      <c r="P2" s="280"/>
      <c r="Q2" s="281"/>
      <c r="R2" s="281"/>
      <c r="S2" s="280"/>
      <c r="T2" s="281"/>
      <c r="U2" s="281"/>
      <c r="V2" s="280"/>
      <c r="W2" s="281"/>
      <c r="X2" s="281"/>
      <c r="Y2" s="280"/>
      <c r="Z2" s="281"/>
      <c r="AA2" s="281"/>
      <c r="AB2" s="280"/>
      <c r="AC2" s="281"/>
      <c r="AD2" s="281"/>
      <c r="AE2" s="288"/>
      <c r="AF2" s="289"/>
      <c r="AG2" s="289"/>
    </row>
    <row r="5" spans="2:39" ht="90" customHeight="1" x14ac:dyDescent="0.35">
      <c r="C5" s="290" t="s">
        <v>487</v>
      </c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</row>
    <row r="6" spans="2:39" x14ac:dyDescent="0.3">
      <c r="C6" s="81"/>
      <c r="U6" s="242">
        <v>0.01</v>
      </c>
      <c r="V6" s="243">
        <f>U6*100</f>
        <v>1</v>
      </c>
      <c r="W6" s="242">
        <v>0.05</v>
      </c>
      <c r="X6" s="241">
        <f>W6*100</f>
        <v>5</v>
      </c>
      <c r="Y6" s="242">
        <v>0.1</v>
      </c>
      <c r="Z6" s="241">
        <f>Y6*100</f>
        <v>10</v>
      </c>
    </row>
    <row r="7" spans="2:39" ht="51" customHeight="1" x14ac:dyDescent="0.3">
      <c r="C7" s="81"/>
      <c r="D7" s="300" t="s">
        <v>486</v>
      </c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0"/>
      <c r="V7" s="300"/>
      <c r="W7" s="300"/>
      <c r="X7" s="300"/>
      <c r="Y7" s="300"/>
      <c r="Z7" s="300"/>
    </row>
    <row r="8" spans="2:39" ht="27.75" customHeight="1" thickBot="1" x14ac:dyDescent="0.35">
      <c r="P8" s="109">
        <v>1.3</v>
      </c>
      <c r="V8" s="197"/>
      <c r="X8" s="197"/>
      <c r="AA8" s="240"/>
    </row>
    <row r="9" spans="2:39" s="225" customFormat="1" ht="81" customHeight="1" thickBot="1" x14ac:dyDescent="0.35">
      <c r="B9" s="239"/>
      <c r="C9" s="297" t="s">
        <v>485</v>
      </c>
      <c r="D9" s="297" t="s">
        <v>484</v>
      </c>
      <c r="E9" s="292" t="s">
        <v>483</v>
      </c>
      <c r="F9" s="293"/>
      <c r="G9" s="299"/>
      <c r="H9" s="292" t="s">
        <v>482</v>
      </c>
      <c r="I9" s="293"/>
      <c r="J9" s="293"/>
      <c r="K9" s="293"/>
      <c r="L9" s="293"/>
      <c r="M9" s="294"/>
      <c r="N9" s="295" t="s">
        <v>481</v>
      </c>
      <c r="O9" s="293"/>
      <c r="P9" s="293"/>
      <c r="Q9" s="293"/>
      <c r="R9" s="293"/>
      <c r="S9" s="296"/>
      <c r="T9" s="297" t="s">
        <v>480</v>
      </c>
      <c r="U9" s="286" t="str">
        <f>CONCATENATE("Стоимость для сотрудников организации (рентабельность ",V6," %)")</f>
        <v>Стоимость для сотрудников организации (рентабельность 1 %)</v>
      </c>
      <c r="V9" s="287"/>
      <c r="W9" s="286" t="str">
        <f>CONCATENATE("Стоимость для организаций входящих в состав СДС (рентабельность ",X6," %)")</f>
        <v>Стоимость для организаций входящих в состав СДС (рентабельность 5 %)</v>
      </c>
      <c r="X9" s="287"/>
      <c r="Y9" s="286" t="str">
        <f>CONCATENATE("Стоимость для сторонних организаций (рентабельность ",Z6," %)")</f>
        <v>Стоимость для сторонних организаций (рентабельность 10 %)</v>
      </c>
      <c r="Z9" s="287"/>
      <c r="AA9" s="230"/>
      <c r="AB9" s="286" t="str">
        <f>CONCATENATE("Стоимость для сотрудников организации (рентабельность 1%)")</f>
        <v>Стоимость для сотрудников организации (рентабельность 1%)</v>
      </c>
      <c r="AC9" s="287"/>
      <c r="AD9" s="286" t="str">
        <f>CONCATENATE("Стоимость для организаций входящих в состав СДС (рентабельность 5 %)")</f>
        <v>Стоимость для организаций входящих в состав СДС (рентабельность 5 %)</v>
      </c>
      <c r="AE9" s="287"/>
      <c r="AF9" s="286" t="s">
        <v>479</v>
      </c>
      <c r="AG9" s="287"/>
      <c r="AH9" s="282" t="s">
        <v>478</v>
      </c>
      <c r="AI9" s="283"/>
      <c r="AJ9" s="282" t="s">
        <v>477</v>
      </c>
      <c r="AK9" s="283"/>
      <c r="AL9" s="284" t="s">
        <v>476</v>
      </c>
      <c r="AM9" s="285"/>
    </row>
    <row r="10" spans="2:39" s="225" customFormat="1" ht="34.5" customHeight="1" thickBot="1" x14ac:dyDescent="0.35">
      <c r="B10" s="239"/>
      <c r="C10" s="298"/>
      <c r="D10" s="298"/>
      <c r="E10" s="238" t="s">
        <v>475</v>
      </c>
      <c r="F10" s="237" t="s">
        <v>474</v>
      </c>
      <c r="G10" s="236" t="s">
        <v>473</v>
      </c>
      <c r="H10" s="235" t="s">
        <v>472</v>
      </c>
      <c r="I10" s="233" t="s">
        <v>471</v>
      </c>
      <c r="J10" s="233" t="s">
        <v>470</v>
      </c>
      <c r="K10" s="233" t="s">
        <v>469</v>
      </c>
      <c r="L10" s="232" t="s">
        <v>468</v>
      </c>
      <c r="M10" s="231" t="s">
        <v>462</v>
      </c>
      <c r="N10" s="234" t="s">
        <v>467</v>
      </c>
      <c r="O10" s="233" t="s">
        <v>466</v>
      </c>
      <c r="P10" s="233" t="s">
        <v>465</v>
      </c>
      <c r="Q10" s="233" t="s">
        <v>464</v>
      </c>
      <c r="R10" s="232" t="s">
        <v>463</v>
      </c>
      <c r="S10" s="231" t="s">
        <v>462</v>
      </c>
      <c r="T10" s="298"/>
      <c r="U10" s="229" t="s">
        <v>461</v>
      </c>
      <c r="V10" s="228" t="s">
        <v>460</v>
      </c>
      <c r="W10" s="229" t="s">
        <v>461</v>
      </c>
      <c r="X10" s="228" t="s">
        <v>460</v>
      </c>
      <c r="Y10" s="229" t="s">
        <v>461</v>
      </c>
      <c r="Z10" s="228" t="s">
        <v>460</v>
      </c>
      <c r="AA10" s="230"/>
      <c r="AB10" s="229" t="s">
        <v>461</v>
      </c>
      <c r="AC10" s="228" t="s">
        <v>460</v>
      </c>
      <c r="AD10" s="229" t="s">
        <v>461</v>
      </c>
      <c r="AE10" s="228" t="s">
        <v>460</v>
      </c>
      <c r="AF10" s="227" t="s">
        <v>459</v>
      </c>
      <c r="AG10" s="226" t="s">
        <v>458</v>
      </c>
      <c r="AH10" s="227" t="s">
        <v>459</v>
      </c>
      <c r="AI10" s="226" t="s">
        <v>458</v>
      </c>
      <c r="AJ10" s="227" t="s">
        <v>459</v>
      </c>
      <c r="AK10" s="226" t="s">
        <v>458</v>
      </c>
      <c r="AL10" s="227" t="s">
        <v>459</v>
      </c>
      <c r="AM10" s="226" t="s">
        <v>458</v>
      </c>
    </row>
    <row r="11" spans="2:39" x14ac:dyDescent="0.3">
      <c r="C11" s="224" t="s">
        <v>0</v>
      </c>
      <c r="D11" s="223"/>
      <c r="E11" s="222"/>
      <c r="F11" s="221"/>
      <c r="G11" s="220"/>
      <c r="H11" s="219"/>
      <c r="I11" s="217"/>
      <c r="J11" s="217"/>
      <c r="K11" s="217"/>
      <c r="L11" s="216"/>
      <c r="M11" s="215"/>
      <c r="N11" s="218"/>
      <c r="O11" s="217"/>
      <c r="P11" s="217"/>
      <c r="Q11" s="217"/>
      <c r="R11" s="216"/>
      <c r="S11" s="215"/>
      <c r="T11" s="214"/>
      <c r="U11" s="213"/>
      <c r="V11" s="212"/>
      <c r="W11" s="213"/>
      <c r="X11" s="212"/>
      <c r="Y11" s="213"/>
      <c r="Z11" s="212"/>
      <c r="AA11" s="211"/>
      <c r="AB11" s="209"/>
      <c r="AC11" s="208"/>
      <c r="AD11" s="209"/>
      <c r="AE11" s="208"/>
      <c r="AF11" s="209"/>
      <c r="AG11" s="208"/>
      <c r="AH11" s="209"/>
      <c r="AI11" s="208"/>
      <c r="AJ11" s="210"/>
      <c r="AK11" s="210"/>
      <c r="AL11" s="209"/>
      <c r="AM11" s="208"/>
    </row>
    <row r="12" spans="2:39" x14ac:dyDescent="0.3">
      <c r="C12" s="205">
        <v>3008</v>
      </c>
      <c r="D12" s="116" t="s">
        <v>66</v>
      </c>
      <c r="E12" s="116">
        <f>IFERROR(VLOOKUP($D12,[1]Тарифы!$D$7:$M$93,8,FALSE),0)</f>
        <v>10</v>
      </c>
      <c r="F12" s="115">
        <f>IFERROR(VLOOKUP($D12,[1]Тарифы!$D$7:$M$93,9,FALSE),0)</f>
        <v>650</v>
      </c>
      <c r="G12" s="114">
        <f>IFERROR(VLOOKUP($D12,[1]Тарифы!$D$7:$M$93,10,FALSE),0)</f>
        <v>386.09999999999997</v>
      </c>
      <c r="H12" s="142">
        <f>[2]Лиаз!$F56*1.05*1.2</f>
        <v>3839.3192871684892</v>
      </c>
      <c r="I12" s="112">
        <f t="shared" ref="I12:I27" si="0">H12*0.307</f>
        <v>1178.6710211607262</v>
      </c>
      <c r="J12" s="112">
        <f>[2]Лиаз!$F61</f>
        <v>148.75</v>
      </c>
      <c r="K12" s="112">
        <f>[2]Лиаз!$F63</f>
        <v>283.33333333333331</v>
      </c>
      <c r="L12" s="140">
        <f>[2]Лиаз!$F77</f>
        <v>2590.0169794390604</v>
      </c>
      <c r="M12" s="139">
        <f t="shared" ref="M12:M27" si="1">SUM(H12:L12)</f>
        <v>8040.090621101609</v>
      </c>
      <c r="N12" s="141">
        <f>[2]Лиаз!$F27</f>
        <v>0</v>
      </c>
      <c r="O12" s="112">
        <f>[2]Лиаз!$F29</f>
        <v>408.6503571428571</v>
      </c>
      <c r="P12" s="109">
        <f>([2]Лиаз!$F40)*1.3</f>
        <v>12561.86166101695</v>
      </c>
      <c r="Q12" s="109">
        <f t="shared" ref="Q12:Q27" si="2">P12*0.04</f>
        <v>502.47446644067804</v>
      </c>
      <c r="R12" s="140">
        <f>[2]Лиаз!$F53</f>
        <v>0</v>
      </c>
      <c r="S12" s="139">
        <f t="shared" ref="S12:S27" si="3">SUM(N12:R12)</f>
        <v>13472.986484600486</v>
      </c>
      <c r="T12" s="138">
        <f t="shared" ref="T12:T27" si="4">M12+S12</f>
        <v>21513.077105702094</v>
      </c>
      <c r="U12" s="137">
        <f t="shared" ref="U12:U27" si="5">((M12*$U$6)+M12)/E12</f>
        <v>812.04915273126255</v>
      </c>
      <c r="V12" s="136">
        <f t="shared" ref="V12:V27" si="6">((S12*$U$6)+S12)/F12</f>
        <v>20.93494822991768</v>
      </c>
      <c r="W12" s="137">
        <f t="shared" ref="W12:W27" si="7">((M12*$W$6)+M12)/E12</f>
        <v>844.20951521566894</v>
      </c>
      <c r="X12" s="136">
        <f t="shared" ref="X12:X27" si="8">((S12*$W$6)+S12)/F12</f>
        <v>21.764055090508478</v>
      </c>
      <c r="Y12" s="137">
        <f t="shared" ref="Y12:Y27" si="9">((M12*$Y$6)+M12)/E12</f>
        <v>884.40996832117708</v>
      </c>
      <c r="Z12" s="136">
        <f t="shared" ref="Z12:Z27" si="10">((S12*$Y$6)+S12)/F12</f>
        <v>22.800438666246976</v>
      </c>
      <c r="AA12" s="103"/>
      <c r="AB12" s="102">
        <f t="shared" ref="AB12:AB27" si="11">MROUND(U12,1)</f>
        <v>812</v>
      </c>
      <c r="AC12" s="135">
        <f t="shared" ref="AC12:AC27" si="12">ROUNDUP(V12,1)</f>
        <v>21</v>
      </c>
      <c r="AD12" s="102">
        <f t="shared" ref="AD12:AD27" si="13">MROUND(W12,1)</f>
        <v>844</v>
      </c>
      <c r="AE12" s="135">
        <f t="shared" ref="AE12:AE27" si="14">ROUNDUP(X12,1)</f>
        <v>21.8</v>
      </c>
      <c r="AF12" s="102">
        <f t="shared" ref="AF12:AF27" si="15">MROUND(Y12,1)</f>
        <v>884</v>
      </c>
      <c r="AG12" s="135">
        <f t="shared" ref="AG12:AG27" si="16">ROUNDUP(Z12,1)</f>
        <v>22.900000000000002</v>
      </c>
      <c r="AH12" s="102">
        <f t="shared" ref="AH12:AI18" si="17">AL12*0.8</f>
        <v>2010.4</v>
      </c>
      <c r="AI12" s="102">
        <f t="shared" si="17"/>
        <v>59.120000000000005</v>
      </c>
      <c r="AJ12" s="101"/>
      <c r="AK12" s="101"/>
      <c r="AL12" s="102">
        <v>2513</v>
      </c>
      <c r="AM12" s="135">
        <v>73.900000000000006</v>
      </c>
    </row>
    <row r="13" spans="2:39" outlineLevel="1" x14ac:dyDescent="0.3">
      <c r="C13" s="205">
        <v>3014</v>
      </c>
      <c r="D13" s="116" t="s">
        <v>75</v>
      </c>
      <c r="E13" s="116">
        <f>IFERROR(VLOOKUP($D13,[1]Тарифы!$D$7:$M$93,8,FALSE),0)</f>
        <v>10</v>
      </c>
      <c r="F13" s="115">
        <f>IFERROR(VLOOKUP($D13,[1]Тарифы!$D$7:$M$93,9,FALSE),0)</f>
        <v>650</v>
      </c>
      <c r="G13" s="114">
        <f>IFERROR(VLOOKUP($D13,[1]Тарифы!$D$7:$M$93,10,FALSE),0)</f>
        <v>98.8</v>
      </c>
      <c r="H13" s="142">
        <f>[2]Хайс!$F56*1.05*1.2</f>
        <v>3521.274162305886</v>
      </c>
      <c r="I13" s="112">
        <f t="shared" si="0"/>
        <v>1081.031167827907</v>
      </c>
      <c r="J13" s="112">
        <f>[2]Хайс!$F61</f>
        <v>850.98257805938579</v>
      </c>
      <c r="K13" s="112">
        <f>[2]Хайс!$F63</f>
        <v>92.232700395055431</v>
      </c>
      <c r="L13" s="140">
        <f>[2]Хайс!$F77</f>
        <v>2375.462728539685</v>
      </c>
      <c r="M13" s="139">
        <f t="shared" si="1"/>
        <v>7920.9833371279201</v>
      </c>
      <c r="N13" s="141">
        <f>[2]Хайс!$F27</f>
        <v>214.3801785279401</v>
      </c>
      <c r="O13" s="112">
        <f>[2]Хайс!$F29</f>
        <v>192.26133333333331</v>
      </c>
      <c r="P13" s="109">
        <f>([2]Хайс!$F40)*1.3</f>
        <v>3214.4831186440683</v>
      </c>
      <c r="Q13" s="109">
        <f t="shared" si="2"/>
        <v>128.57932474576273</v>
      </c>
      <c r="R13" s="140">
        <f>[2]Хайс!$F53</f>
        <v>0</v>
      </c>
      <c r="S13" s="139">
        <f t="shared" si="3"/>
        <v>3749.7039552511046</v>
      </c>
      <c r="T13" s="138">
        <f t="shared" si="4"/>
        <v>11670.687292379025</v>
      </c>
      <c r="U13" s="137">
        <f t="shared" si="5"/>
        <v>800.01931704991989</v>
      </c>
      <c r="V13" s="136">
        <f t="shared" si="6"/>
        <v>5.8264630689286392</v>
      </c>
      <c r="W13" s="137">
        <f t="shared" si="7"/>
        <v>831.70325039843158</v>
      </c>
      <c r="X13" s="136">
        <f t="shared" si="8"/>
        <v>6.0572140815594766</v>
      </c>
      <c r="Y13" s="137">
        <f t="shared" si="9"/>
        <v>871.30816708407133</v>
      </c>
      <c r="Z13" s="136">
        <f t="shared" si="10"/>
        <v>6.3456528473480232</v>
      </c>
      <c r="AA13" s="103"/>
      <c r="AB13" s="102">
        <f t="shared" si="11"/>
        <v>800</v>
      </c>
      <c r="AC13" s="135">
        <f t="shared" si="12"/>
        <v>5.8999999999999995</v>
      </c>
      <c r="AD13" s="102">
        <f t="shared" si="13"/>
        <v>832</v>
      </c>
      <c r="AE13" s="135">
        <f t="shared" si="14"/>
        <v>6.1</v>
      </c>
      <c r="AF13" s="102">
        <f t="shared" si="15"/>
        <v>871</v>
      </c>
      <c r="AG13" s="135">
        <f t="shared" si="16"/>
        <v>6.3999999999999995</v>
      </c>
      <c r="AH13" s="102">
        <f t="shared" si="17"/>
        <v>643.20000000000005</v>
      </c>
      <c r="AI13" s="102">
        <f t="shared" si="17"/>
        <v>5.120000000000001</v>
      </c>
      <c r="AJ13" s="101">
        <f t="shared" ref="AJ13:AJ27" si="18">AH13/AF13</f>
        <v>0.7384615384615385</v>
      </c>
      <c r="AK13" s="101">
        <f t="shared" ref="AK13:AK27" si="19">AI13/AG13</f>
        <v>0.80000000000000027</v>
      </c>
      <c r="AL13" s="102">
        <v>804</v>
      </c>
      <c r="AM13" s="135">
        <v>6.4</v>
      </c>
    </row>
    <row r="14" spans="2:39" outlineLevel="1" x14ac:dyDescent="0.3">
      <c r="C14" s="205">
        <v>3020</v>
      </c>
      <c r="D14" s="116" t="s">
        <v>161</v>
      </c>
      <c r="E14" s="116">
        <f>IFERROR(VLOOKUP($D14,[1]Тарифы!$D$7:$M$93,8,FALSE),0)</f>
        <v>10</v>
      </c>
      <c r="F14" s="115">
        <f>IFERROR(VLOOKUP($D14,[1]Тарифы!$D$7:$M$93,9,FALSE),0)</f>
        <v>650</v>
      </c>
      <c r="G14" s="114">
        <f>IFERROR(VLOOKUP($D14,[1]Тарифы!$D$7:$M$93,10,FALSE),0)</f>
        <v>228.8</v>
      </c>
      <c r="H14" s="142">
        <f>[2]Нефаз!$F56*1.05*1.2</f>
        <v>3595.8591206999995</v>
      </c>
      <c r="I14" s="112">
        <f t="shared" si="0"/>
        <v>1103.9287500548999</v>
      </c>
      <c r="J14" s="112">
        <f>[2]Нефаз!$F61</f>
        <v>2132.4970215938279</v>
      </c>
      <c r="K14" s="112">
        <f>[2]Нефаз!$F63</f>
        <v>132.48296724442923</v>
      </c>
      <c r="L14" s="140">
        <f>[2]Нефаз!$F77</f>
        <v>2425.7779782499993</v>
      </c>
      <c r="M14" s="139">
        <f t="shared" si="1"/>
        <v>9390.5458378431558</v>
      </c>
      <c r="N14" s="141">
        <f>[2]Нефаз!$F27</f>
        <v>1385.6670890749799</v>
      </c>
      <c r="O14" s="112">
        <f>[2]Нефаз!$F29</f>
        <v>548.2551176470588</v>
      </c>
      <c r="P14" s="109">
        <f>([2]Нефаз!$F40)*1.3</f>
        <v>7838.300203389831</v>
      </c>
      <c r="Q14" s="109">
        <f t="shared" si="2"/>
        <v>313.53200813559323</v>
      </c>
      <c r="R14" s="140">
        <f>[2]Нефаз!$F53</f>
        <v>28.472980213371454</v>
      </c>
      <c r="S14" s="139">
        <f t="shared" si="3"/>
        <v>10114.227398460835</v>
      </c>
      <c r="T14" s="138">
        <f t="shared" si="4"/>
        <v>19504.77323630399</v>
      </c>
      <c r="U14" s="137">
        <f t="shared" si="5"/>
        <v>948.44512962215867</v>
      </c>
      <c r="V14" s="136">
        <f t="shared" si="6"/>
        <v>15.715953342223758</v>
      </c>
      <c r="W14" s="137">
        <f t="shared" si="7"/>
        <v>986.00731297353138</v>
      </c>
      <c r="X14" s="136">
        <f t="shared" si="8"/>
        <v>16.338367335975192</v>
      </c>
      <c r="Y14" s="137">
        <f t="shared" si="9"/>
        <v>1032.960042162747</v>
      </c>
      <c r="Z14" s="136">
        <f t="shared" si="10"/>
        <v>17.116384828164492</v>
      </c>
      <c r="AA14" s="103"/>
      <c r="AB14" s="102">
        <f t="shared" si="11"/>
        <v>948</v>
      </c>
      <c r="AC14" s="135">
        <f t="shared" si="12"/>
        <v>15.799999999999999</v>
      </c>
      <c r="AD14" s="102">
        <f t="shared" si="13"/>
        <v>986</v>
      </c>
      <c r="AE14" s="135">
        <f t="shared" si="14"/>
        <v>16.400000000000002</v>
      </c>
      <c r="AF14" s="102">
        <f t="shared" si="15"/>
        <v>1033</v>
      </c>
      <c r="AG14" s="135">
        <f t="shared" si="16"/>
        <v>17.200000000000003</v>
      </c>
      <c r="AH14" s="102">
        <f t="shared" si="17"/>
        <v>918.40000000000009</v>
      </c>
      <c r="AI14" s="102">
        <f t="shared" si="17"/>
        <v>16.16</v>
      </c>
      <c r="AJ14" s="101">
        <f t="shared" si="18"/>
        <v>0.88906098741529538</v>
      </c>
      <c r="AK14" s="101">
        <f t="shared" si="19"/>
        <v>0.93953488372093008</v>
      </c>
      <c r="AL14" s="102">
        <v>1148</v>
      </c>
      <c r="AM14" s="135">
        <v>20.2</v>
      </c>
    </row>
    <row r="15" spans="2:39" outlineLevel="1" x14ac:dyDescent="0.3">
      <c r="C15" s="205"/>
      <c r="D15" s="116" t="s">
        <v>3</v>
      </c>
      <c r="E15" s="116">
        <f>VLOOKUP(D15,'[3]Прайс 2022'!D$12:E$99,2,0)</f>
        <v>10</v>
      </c>
      <c r="F15" s="115">
        <f>VLOOKUP(D15,'[3]Прайс 2022'!D$12:G$99,3,0)</f>
        <v>650</v>
      </c>
      <c r="G15" s="114">
        <f>VLOOKUP(D15,'[3]Прайс 2022'!D$12:G$99,4,0)</f>
        <v>228.8</v>
      </c>
      <c r="H15" s="142">
        <f>H14</f>
        <v>3595.8591206999995</v>
      </c>
      <c r="I15" s="112">
        <f t="shared" si="0"/>
        <v>1103.9287500548999</v>
      </c>
      <c r="J15" s="112">
        <f>J14</f>
        <v>2132.4970215938279</v>
      </c>
      <c r="K15" s="112">
        <f>K14</f>
        <v>132.48296724442923</v>
      </c>
      <c r="L15" s="140">
        <f>L14</f>
        <v>2425.7779782499993</v>
      </c>
      <c r="M15" s="139">
        <f t="shared" si="1"/>
        <v>9390.5458378431558</v>
      </c>
      <c r="N15" s="141">
        <f>N14</f>
        <v>1385.6670890749799</v>
      </c>
      <c r="O15" s="112">
        <f>O14</f>
        <v>548.2551176470588</v>
      </c>
      <c r="P15" s="109">
        <f>(P14)</f>
        <v>7838.300203389831</v>
      </c>
      <c r="Q15" s="109">
        <f t="shared" si="2"/>
        <v>313.53200813559323</v>
      </c>
      <c r="R15" s="140">
        <f>R14</f>
        <v>28.472980213371454</v>
      </c>
      <c r="S15" s="139">
        <f t="shared" si="3"/>
        <v>10114.227398460835</v>
      </c>
      <c r="T15" s="138">
        <f t="shared" si="4"/>
        <v>19504.77323630399</v>
      </c>
      <c r="U15" s="137">
        <f t="shared" si="5"/>
        <v>948.44512962215867</v>
      </c>
      <c r="V15" s="136">
        <f t="shared" si="6"/>
        <v>15.715953342223758</v>
      </c>
      <c r="W15" s="137">
        <f t="shared" si="7"/>
        <v>986.00731297353138</v>
      </c>
      <c r="X15" s="136">
        <f t="shared" si="8"/>
        <v>16.338367335975192</v>
      </c>
      <c r="Y15" s="137">
        <f t="shared" si="9"/>
        <v>1032.960042162747</v>
      </c>
      <c r="Z15" s="136">
        <f t="shared" si="10"/>
        <v>17.116384828164492</v>
      </c>
      <c r="AA15" s="103"/>
      <c r="AB15" s="102">
        <f t="shared" si="11"/>
        <v>948</v>
      </c>
      <c r="AC15" s="135">
        <f t="shared" si="12"/>
        <v>15.799999999999999</v>
      </c>
      <c r="AD15" s="102">
        <f t="shared" si="13"/>
        <v>986</v>
      </c>
      <c r="AE15" s="135">
        <f t="shared" si="14"/>
        <v>16.400000000000002</v>
      </c>
      <c r="AF15" s="102">
        <f t="shared" si="15"/>
        <v>1033</v>
      </c>
      <c r="AG15" s="135">
        <f t="shared" si="16"/>
        <v>17.200000000000003</v>
      </c>
      <c r="AH15" s="102">
        <f t="shared" si="17"/>
        <v>773.6</v>
      </c>
      <c r="AI15" s="102">
        <f t="shared" si="17"/>
        <v>13.600000000000001</v>
      </c>
      <c r="AJ15" s="101">
        <f t="shared" si="18"/>
        <v>0.74888673765730884</v>
      </c>
      <c r="AK15" s="101">
        <f t="shared" si="19"/>
        <v>0.79069767441860461</v>
      </c>
      <c r="AL15" s="102">
        <v>967</v>
      </c>
      <c r="AM15" s="135">
        <v>17</v>
      </c>
    </row>
    <row r="16" spans="2:39" outlineLevel="1" x14ac:dyDescent="0.3">
      <c r="C16" s="205"/>
      <c r="D16" s="116" t="s">
        <v>72</v>
      </c>
      <c r="E16" s="116">
        <f>VLOOKUP(D16,'[3]Прайс 2022'!D$12:E$99,2,0)</f>
        <v>12</v>
      </c>
      <c r="F16" s="115">
        <f>VLOOKUP(D16,'[3]Прайс 2022'!D$12:G$99,3,0)</f>
        <v>650</v>
      </c>
      <c r="G16" s="114">
        <f>VLOOKUP(D16,'[3]Прайс 2022'!D$12:G$99,4,0)</f>
        <v>284.7</v>
      </c>
      <c r="H16" s="142">
        <f>H39</f>
        <v>3640.6298376</v>
      </c>
      <c r="I16" s="112">
        <f t="shared" si="0"/>
        <v>1117.6733601431999</v>
      </c>
      <c r="J16" s="112">
        <f>J39</f>
        <v>4422.458281956433</v>
      </c>
      <c r="K16" s="112">
        <f>K39</f>
        <v>152.39021235785725</v>
      </c>
      <c r="L16" s="140">
        <f>L39</f>
        <v>2455.9804459999996</v>
      </c>
      <c r="M16" s="139">
        <f t="shared" si="1"/>
        <v>11789.13213805749</v>
      </c>
      <c r="N16" s="141">
        <f>N39</f>
        <v>2762.5</v>
      </c>
      <c r="O16" s="112">
        <f>O39</f>
        <v>1040.9919</v>
      </c>
      <c r="P16" s="109">
        <f>(P39)</f>
        <v>9262.7868813559344</v>
      </c>
      <c r="Q16" s="109">
        <f t="shared" si="2"/>
        <v>370.51147525423738</v>
      </c>
      <c r="R16" s="140">
        <f>R39</f>
        <v>0</v>
      </c>
      <c r="S16" s="139">
        <f t="shared" si="3"/>
        <v>13436.790256610171</v>
      </c>
      <c r="T16" s="138">
        <f t="shared" si="4"/>
        <v>25225.922394667661</v>
      </c>
      <c r="U16" s="137">
        <f t="shared" si="5"/>
        <v>992.25195495317212</v>
      </c>
      <c r="V16" s="136">
        <f t="shared" si="6"/>
        <v>20.878704860271188</v>
      </c>
      <c r="W16" s="137">
        <f t="shared" si="7"/>
        <v>1031.5490620800304</v>
      </c>
      <c r="X16" s="136">
        <f t="shared" si="8"/>
        <v>21.70558426067797</v>
      </c>
      <c r="Y16" s="137">
        <f t="shared" si="9"/>
        <v>1080.6704459886032</v>
      </c>
      <c r="Z16" s="136">
        <f t="shared" si="10"/>
        <v>22.739183511186443</v>
      </c>
      <c r="AA16" s="103"/>
      <c r="AB16" s="102">
        <f t="shared" si="11"/>
        <v>992</v>
      </c>
      <c r="AC16" s="135">
        <f t="shared" si="12"/>
        <v>20.900000000000002</v>
      </c>
      <c r="AD16" s="102">
        <f t="shared" si="13"/>
        <v>1032</v>
      </c>
      <c r="AE16" s="135">
        <f t="shared" si="14"/>
        <v>21.8</v>
      </c>
      <c r="AF16" s="102">
        <f t="shared" si="15"/>
        <v>1081</v>
      </c>
      <c r="AG16" s="135">
        <f t="shared" si="16"/>
        <v>22.8</v>
      </c>
      <c r="AH16" s="102">
        <f t="shared" si="17"/>
        <v>1141.6000000000001</v>
      </c>
      <c r="AI16" s="102">
        <f t="shared" si="17"/>
        <v>21.92</v>
      </c>
      <c r="AJ16" s="101">
        <f t="shared" si="18"/>
        <v>1.0560592044403332</v>
      </c>
      <c r="AK16" s="101">
        <f t="shared" si="19"/>
        <v>0.96140350877192982</v>
      </c>
      <c r="AL16" s="102">
        <v>1427</v>
      </c>
      <c r="AM16" s="135">
        <v>27.4</v>
      </c>
    </row>
    <row r="17" spans="1:39" outlineLevel="1" x14ac:dyDescent="0.3">
      <c r="C17" s="205">
        <v>3017</v>
      </c>
      <c r="D17" s="116" t="s">
        <v>4</v>
      </c>
      <c r="E17" s="116">
        <f>VLOOKUP(D17,'[3]Прайс 2022'!D$12:E$99,2,0)</f>
        <v>12</v>
      </c>
      <c r="F17" s="115">
        <f>VLOOKUP(D17,'[3]Прайс 2022'!D$12:G$99,3,0)</f>
        <v>650</v>
      </c>
      <c r="G17" s="114">
        <f>VLOOKUP(D17,'[3]Прайс 2022'!D$12:G$99,4,0)</f>
        <v>284.7</v>
      </c>
      <c r="H17" s="142">
        <f>H16</f>
        <v>3640.6298376</v>
      </c>
      <c r="I17" s="112">
        <f t="shared" si="0"/>
        <v>1117.6733601431999</v>
      </c>
      <c r="J17" s="112">
        <f>J16</f>
        <v>4422.458281956433</v>
      </c>
      <c r="K17" s="112">
        <f>K16</f>
        <v>152.39021235785725</v>
      </c>
      <c r="L17" s="140">
        <f>L16</f>
        <v>2455.9804459999996</v>
      </c>
      <c r="M17" s="139">
        <f t="shared" si="1"/>
        <v>11789.13213805749</v>
      </c>
      <c r="N17" s="141">
        <f>N16</f>
        <v>2762.5</v>
      </c>
      <c r="O17" s="112">
        <f>O16</f>
        <v>1040.9919</v>
      </c>
      <c r="P17" s="109">
        <f>(P16)</f>
        <v>9262.7868813559344</v>
      </c>
      <c r="Q17" s="109">
        <f t="shared" si="2"/>
        <v>370.51147525423738</v>
      </c>
      <c r="R17" s="140">
        <f>R16</f>
        <v>0</v>
      </c>
      <c r="S17" s="139">
        <f t="shared" si="3"/>
        <v>13436.790256610171</v>
      </c>
      <c r="T17" s="138">
        <f t="shared" si="4"/>
        <v>25225.922394667661</v>
      </c>
      <c r="U17" s="137">
        <f t="shared" si="5"/>
        <v>992.25195495317212</v>
      </c>
      <c r="V17" s="136">
        <f t="shared" si="6"/>
        <v>20.878704860271188</v>
      </c>
      <c r="W17" s="137">
        <f t="shared" si="7"/>
        <v>1031.5490620800304</v>
      </c>
      <c r="X17" s="136">
        <f t="shared" si="8"/>
        <v>21.70558426067797</v>
      </c>
      <c r="Y17" s="137">
        <f t="shared" si="9"/>
        <v>1080.6704459886032</v>
      </c>
      <c r="Z17" s="136">
        <f t="shared" si="10"/>
        <v>22.739183511186443</v>
      </c>
      <c r="AA17" s="103"/>
      <c r="AB17" s="102">
        <f t="shared" si="11"/>
        <v>992</v>
      </c>
      <c r="AC17" s="135">
        <f t="shared" si="12"/>
        <v>20.900000000000002</v>
      </c>
      <c r="AD17" s="102">
        <f t="shared" si="13"/>
        <v>1032</v>
      </c>
      <c r="AE17" s="135">
        <f t="shared" si="14"/>
        <v>21.8</v>
      </c>
      <c r="AF17" s="102">
        <f t="shared" si="15"/>
        <v>1081</v>
      </c>
      <c r="AG17" s="135">
        <f t="shared" si="16"/>
        <v>22.8</v>
      </c>
      <c r="AH17" s="102">
        <f t="shared" si="17"/>
        <v>1236.8000000000002</v>
      </c>
      <c r="AI17" s="102">
        <f t="shared" si="17"/>
        <v>23.680000000000003</v>
      </c>
      <c r="AJ17" s="101">
        <f t="shared" si="18"/>
        <v>1.1441258094357079</v>
      </c>
      <c r="AK17" s="101">
        <f t="shared" si="19"/>
        <v>1.0385964912280703</v>
      </c>
      <c r="AL17" s="102">
        <v>1546</v>
      </c>
      <c r="AM17" s="135">
        <v>29.6</v>
      </c>
    </row>
    <row r="18" spans="1:39" outlineLevel="1" x14ac:dyDescent="0.3">
      <c r="A18" s="207"/>
      <c r="C18" s="205">
        <v>3004</v>
      </c>
      <c r="D18" s="116" t="s">
        <v>413</v>
      </c>
      <c r="E18" s="116">
        <f>IFERROR(VLOOKUP($D18,[1]Тарифы!$D$7:$M$93,8,FALSE),0)</f>
        <v>5</v>
      </c>
      <c r="F18" s="115">
        <f>IFERROR(VLOOKUP($D18,[1]Тарифы!$D$7:$M$93,9,FALSE),0)</f>
        <v>200</v>
      </c>
      <c r="G18" s="114">
        <f>IFERROR(VLOOKUP($D18,[1]Тарифы!$D$7:$M$93,10,FALSE),0)</f>
        <v>70.400000000000006</v>
      </c>
      <c r="H18" s="142">
        <f>[2]Паз3205!$F56*1.05*1.2</f>
        <v>1995.4036572750001</v>
      </c>
      <c r="I18" s="112">
        <f t="shared" si="0"/>
        <v>612.58892278342501</v>
      </c>
      <c r="J18" s="112">
        <f>[2]Паз3205!$F61</f>
        <v>181.37083702041835</v>
      </c>
      <c r="K18" s="112">
        <f>[2]Паз3205!$F63</f>
        <v>73.526773678244908</v>
      </c>
      <c r="L18" s="140">
        <f>[2]Паз3205!$F77</f>
        <v>1346.1056418124999</v>
      </c>
      <c r="M18" s="139">
        <f t="shared" si="1"/>
        <v>4208.9958325695879</v>
      </c>
      <c r="N18" s="141">
        <f>[2]Паз3205!$F27</f>
        <v>606.7746120964282</v>
      </c>
      <c r="O18" s="112">
        <f>[2]Паз3205!$F29</f>
        <v>74.600571428571442</v>
      </c>
      <c r="P18" s="109">
        <f>([2]Паз3205!$F40)*1.3</f>
        <v>2290.4818983050855</v>
      </c>
      <c r="Q18" s="109">
        <f t="shared" si="2"/>
        <v>91.619275932203422</v>
      </c>
      <c r="R18" s="140">
        <f>[2]Паз3205!$F53</f>
        <v>0</v>
      </c>
      <c r="S18" s="139">
        <f t="shared" si="3"/>
        <v>3063.4763577622884</v>
      </c>
      <c r="T18" s="138">
        <f t="shared" si="4"/>
        <v>7272.4721903318768</v>
      </c>
      <c r="U18" s="137">
        <f t="shared" si="5"/>
        <v>850.21715817905681</v>
      </c>
      <c r="V18" s="136">
        <f t="shared" si="6"/>
        <v>15.470555606699556</v>
      </c>
      <c r="W18" s="137">
        <f t="shared" si="7"/>
        <v>883.88912483961337</v>
      </c>
      <c r="X18" s="136">
        <f t="shared" si="8"/>
        <v>16.083250878252016</v>
      </c>
      <c r="Y18" s="137">
        <f t="shared" si="9"/>
        <v>925.97908316530936</v>
      </c>
      <c r="Z18" s="136">
        <f t="shared" si="10"/>
        <v>16.849119967692587</v>
      </c>
      <c r="AA18" s="103"/>
      <c r="AB18" s="102">
        <f t="shared" si="11"/>
        <v>850</v>
      </c>
      <c r="AC18" s="135">
        <f t="shared" si="12"/>
        <v>15.5</v>
      </c>
      <c r="AD18" s="102">
        <f t="shared" si="13"/>
        <v>884</v>
      </c>
      <c r="AE18" s="135">
        <f t="shared" si="14"/>
        <v>16.100000000000001</v>
      </c>
      <c r="AF18" s="102">
        <f t="shared" si="15"/>
        <v>926</v>
      </c>
      <c r="AG18" s="135">
        <f t="shared" si="16"/>
        <v>16.900000000000002</v>
      </c>
      <c r="AH18" s="102">
        <f t="shared" si="17"/>
        <v>778.40000000000009</v>
      </c>
      <c r="AI18" s="102">
        <f t="shared" si="17"/>
        <v>16.32</v>
      </c>
      <c r="AJ18" s="101">
        <f t="shared" si="18"/>
        <v>0.84060475161987047</v>
      </c>
      <c r="AK18" s="101">
        <f t="shared" si="19"/>
        <v>0.96568047337278096</v>
      </c>
      <c r="AL18" s="102">
        <v>973</v>
      </c>
      <c r="AM18" s="135">
        <v>20.399999999999999</v>
      </c>
    </row>
    <row r="19" spans="1:39" outlineLevel="1" x14ac:dyDescent="0.3">
      <c r="A19" s="207"/>
      <c r="C19" s="205">
        <v>3004</v>
      </c>
      <c r="D19" s="116" t="s">
        <v>457</v>
      </c>
      <c r="E19" s="116">
        <f>IFERROR(VLOOKUP($D19,[1]Тарифы!$D$7:$M$93,8,FALSE),0)</f>
        <v>10</v>
      </c>
      <c r="F19" s="115">
        <f>IFERROR(VLOOKUP($D19,[1]Тарифы!$D$7:$M$93,9,FALSE),0)</f>
        <v>650</v>
      </c>
      <c r="G19" s="114">
        <f>IFERROR(VLOOKUP($D19,[1]Тарифы!$D$7:$M$93,10,FALSE),0)</f>
        <v>122.2</v>
      </c>
      <c r="H19" s="142">
        <f>[2]Лаборат_Газ27322F!$F56*1.05*1.2</f>
        <v>3180.4299292500004</v>
      </c>
      <c r="I19" s="112">
        <f t="shared" si="0"/>
        <v>976.39198827975008</v>
      </c>
      <c r="J19" s="112">
        <f>[2]Лаборат_Газ27322F!$F61</f>
        <v>1378.6240708189655</v>
      </c>
      <c r="K19" s="112">
        <f>[2]Лаборат_Газ27322F!$F63</f>
        <v>51.724137931034484</v>
      </c>
      <c r="L19" s="140">
        <f>[2]Лаборат_Газ27322F!$F77</f>
        <v>2145.528126875</v>
      </c>
      <c r="M19" s="139">
        <f t="shared" si="1"/>
        <v>7732.698253154751</v>
      </c>
      <c r="N19" s="141">
        <f>[2]Лаборат_Газ27322F!$F27</f>
        <v>1972.0174893133915</v>
      </c>
      <c r="O19" s="112">
        <f>[2]Лаборат_Газ27322F!$F29</f>
        <v>173.95149473684211</v>
      </c>
      <c r="P19" s="109">
        <f>([2]Лаборат_Газ27322F!$F40)*1.3</f>
        <v>4186.364881355933</v>
      </c>
      <c r="Q19" s="109">
        <f t="shared" si="2"/>
        <v>167.45459525423732</v>
      </c>
      <c r="R19" s="140">
        <f>[2]Лаборат_Газ27322F!$F53</f>
        <v>45.660432495616597</v>
      </c>
      <c r="S19" s="139">
        <f t="shared" si="3"/>
        <v>6545.4488931560209</v>
      </c>
      <c r="T19" s="138">
        <f t="shared" si="4"/>
        <v>14278.147146310772</v>
      </c>
      <c r="U19" s="137">
        <f t="shared" si="5"/>
        <v>781.00252356862984</v>
      </c>
      <c r="V19" s="136">
        <f t="shared" si="6"/>
        <v>10.170620587827047</v>
      </c>
      <c r="W19" s="137">
        <f t="shared" si="7"/>
        <v>811.93331658124885</v>
      </c>
      <c r="X19" s="136">
        <f t="shared" si="8"/>
        <v>10.573417442790495</v>
      </c>
      <c r="Y19" s="137">
        <f t="shared" si="9"/>
        <v>850.59680784702266</v>
      </c>
      <c r="Z19" s="136">
        <f t="shared" si="10"/>
        <v>11.076913511494805</v>
      </c>
      <c r="AA19" s="103"/>
      <c r="AB19" s="102">
        <f t="shared" si="11"/>
        <v>781</v>
      </c>
      <c r="AC19" s="135">
        <f t="shared" si="12"/>
        <v>10.199999999999999</v>
      </c>
      <c r="AD19" s="102">
        <f t="shared" si="13"/>
        <v>812</v>
      </c>
      <c r="AE19" s="135">
        <f t="shared" si="14"/>
        <v>10.6</v>
      </c>
      <c r="AF19" s="102">
        <f t="shared" si="15"/>
        <v>851</v>
      </c>
      <c r="AG19" s="135">
        <f t="shared" si="16"/>
        <v>11.1</v>
      </c>
      <c r="AH19" s="102">
        <f>AF19</f>
        <v>851</v>
      </c>
      <c r="AI19" s="102">
        <f>AG19</f>
        <v>11.1</v>
      </c>
      <c r="AJ19" s="101">
        <f t="shared" si="18"/>
        <v>1</v>
      </c>
      <c r="AK19" s="101">
        <f t="shared" si="19"/>
        <v>1</v>
      </c>
      <c r="AL19" s="102">
        <v>725</v>
      </c>
      <c r="AM19" s="135">
        <v>10.3</v>
      </c>
    </row>
    <row r="20" spans="1:39" outlineLevel="1" x14ac:dyDescent="0.3">
      <c r="A20" s="206"/>
      <c r="C20" s="205">
        <v>3004</v>
      </c>
      <c r="D20" s="116" t="s">
        <v>456</v>
      </c>
      <c r="E20" s="116">
        <f>VLOOKUP(D20,'[3]Прайс 2022'!D$12:E$99,2,0)</f>
        <v>10</v>
      </c>
      <c r="F20" s="115">
        <f>VLOOKUP(D20,'[3]Прайс 2022'!D$12:G$99,3,0)</f>
        <v>650</v>
      </c>
      <c r="G20" s="114">
        <f>VLOOKUP(D20,'[3]Прайс 2022'!D$12:G$99,4,0)</f>
        <v>228.8</v>
      </c>
      <c r="H20" s="142">
        <f>H15</f>
        <v>3595.8591206999995</v>
      </c>
      <c r="I20" s="112">
        <f t="shared" si="0"/>
        <v>1103.9287500548999</v>
      </c>
      <c r="J20" s="112">
        <f>J15</f>
        <v>2132.4970215938279</v>
      </c>
      <c r="K20" s="112">
        <f>K15</f>
        <v>132.48296724442923</v>
      </c>
      <c r="L20" s="140">
        <f>L15</f>
        <v>2425.7779782499993</v>
      </c>
      <c r="M20" s="139">
        <f t="shared" si="1"/>
        <v>9390.5458378431558</v>
      </c>
      <c r="N20" s="141">
        <f>N15</f>
        <v>1385.6670890749799</v>
      </c>
      <c r="O20" s="112">
        <f>O15</f>
        <v>548.2551176470588</v>
      </c>
      <c r="P20" s="109">
        <f>(P15)</f>
        <v>7838.300203389831</v>
      </c>
      <c r="Q20" s="109">
        <f t="shared" si="2"/>
        <v>313.53200813559323</v>
      </c>
      <c r="R20" s="140">
        <f>R15</f>
        <v>28.472980213371454</v>
      </c>
      <c r="S20" s="139">
        <f t="shared" si="3"/>
        <v>10114.227398460835</v>
      </c>
      <c r="T20" s="138">
        <f t="shared" si="4"/>
        <v>19504.77323630399</v>
      </c>
      <c r="U20" s="137">
        <f t="shared" si="5"/>
        <v>948.44512962215867</v>
      </c>
      <c r="V20" s="136">
        <f t="shared" si="6"/>
        <v>15.715953342223758</v>
      </c>
      <c r="W20" s="137">
        <f t="shared" si="7"/>
        <v>986.00731297353138</v>
      </c>
      <c r="X20" s="136">
        <f t="shared" si="8"/>
        <v>16.338367335975192</v>
      </c>
      <c r="Y20" s="137">
        <f t="shared" si="9"/>
        <v>1032.960042162747</v>
      </c>
      <c r="Z20" s="136">
        <f t="shared" si="10"/>
        <v>17.116384828164492</v>
      </c>
      <c r="AA20" s="103"/>
      <c r="AB20" s="102">
        <f t="shared" si="11"/>
        <v>948</v>
      </c>
      <c r="AC20" s="135">
        <f t="shared" si="12"/>
        <v>15.799999999999999</v>
      </c>
      <c r="AD20" s="102">
        <f t="shared" si="13"/>
        <v>986</v>
      </c>
      <c r="AE20" s="135">
        <f t="shared" si="14"/>
        <v>16.400000000000002</v>
      </c>
      <c r="AF20" s="102">
        <f t="shared" si="15"/>
        <v>1033</v>
      </c>
      <c r="AG20" s="135">
        <f t="shared" si="16"/>
        <v>17.200000000000003</v>
      </c>
      <c r="AH20" s="102">
        <f t="shared" ref="AH20:AI22" si="20">AL20*0.8</f>
        <v>868</v>
      </c>
      <c r="AI20" s="102">
        <f t="shared" si="20"/>
        <v>15.280000000000001</v>
      </c>
      <c r="AJ20" s="101">
        <f t="shared" si="18"/>
        <v>0.84027105517909007</v>
      </c>
      <c r="AK20" s="101">
        <f t="shared" si="19"/>
        <v>0.8883720930232557</v>
      </c>
      <c r="AL20" s="102">
        <v>1085</v>
      </c>
      <c r="AM20" s="135">
        <v>19.100000000000001</v>
      </c>
    </row>
    <row r="21" spans="1:39" outlineLevel="1" x14ac:dyDescent="0.3">
      <c r="A21" s="206"/>
      <c r="C21" s="205">
        <v>3004</v>
      </c>
      <c r="D21" s="116" t="s">
        <v>79</v>
      </c>
      <c r="E21" s="116">
        <f>IFERROR(VLOOKUP($D21,[1]Тарифы!$D$7:$M$93,8,FALSE),0)</f>
        <v>10</v>
      </c>
      <c r="F21" s="115">
        <f>IFERROR(VLOOKUP($D21,[1]Тарифы!$D$7:$M$93,9,FALSE),0)</f>
        <v>650</v>
      </c>
      <c r="G21" s="114">
        <f>IFERROR(VLOOKUP($D21,[1]Тарифы!$D$7:$M$93,10,FALSE),0)</f>
        <v>140.4</v>
      </c>
      <c r="H21" s="142">
        <f>[2]Уаз39629!$F56*1.05*1.2</f>
        <v>3180.4299292500004</v>
      </c>
      <c r="I21" s="112">
        <f t="shared" si="0"/>
        <v>976.39198827975008</v>
      </c>
      <c r="J21" s="112">
        <f>[2]Уаз39629!$F61</f>
        <v>27.17651422959889</v>
      </c>
      <c r="K21" s="112">
        <f>[2]Уаз39629!$F63</f>
        <v>55.325034578146607</v>
      </c>
      <c r="L21" s="140">
        <f>[2]Уаз39629!$F77</f>
        <v>2145.528126875</v>
      </c>
      <c r="M21" s="139">
        <f t="shared" si="1"/>
        <v>6384.8515932124956</v>
      </c>
      <c r="N21" s="141">
        <f>[2]Уаз39629!$F27</f>
        <v>1972.0174893133915</v>
      </c>
      <c r="O21" s="112">
        <f>[2]Уаз39629!$F29</f>
        <v>135.2544</v>
      </c>
      <c r="P21" s="109">
        <f>([2]Уаз39629!$F40)*1.3</f>
        <v>4567.9496949152553</v>
      </c>
      <c r="Q21" s="109">
        <f t="shared" si="2"/>
        <v>182.71798779661023</v>
      </c>
      <c r="R21" s="140">
        <f>[2]Уаз39629!$F53</f>
        <v>0</v>
      </c>
      <c r="S21" s="139">
        <f t="shared" si="3"/>
        <v>6857.9395720252569</v>
      </c>
      <c r="T21" s="138">
        <f t="shared" si="4"/>
        <v>13242.791165237752</v>
      </c>
      <c r="U21" s="137">
        <f t="shared" si="5"/>
        <v>644.87001091446211</v>
      </c>
      <c r="V21" s="136">
        <f t="shared" si="6"/>
        <v>10.656183027300782</v>
      </c>
      <c r="W21" s="137">
        <f t="shared" si="7"/>
        <v>670.40941728731207</v>
      </c>
      <c r="X21" s="136">
        <f t="shared" si="8"/>
        <v>11.078210077886954</v>
      </c>
      <c r="Y21" s="137">
        <f t="shared" si="9"/>
        <v>702.33367525337451</v>
      </c>
      <c r="Z21" s="136">
        <f t="shared" si="10"/>
        <v>11.605743891119666</v>
      </c>
      <c r="AA21" s="103"/>
      <c r="AB21" s="102">
        <f t="shared" si="11"/>
        <v>645</v>
      </c>
      <c r="AC21" s="135">
        <f t="shared" si="12"/>
        <v>10.7</v>
      </c>
      <c r="AD21" s="102">
        <f t="shared" si="13"/>
        <v>670</v>
      </c>
      <c r="AE21" s="135">
        <f t="shared" si="14"/>
        <v>11.1</v>
      </c>
      <c r="AF21" s="102">
        <f t="shared" si="15"/>
        <v>702</v>
      </c>
      <c r="AG21" s="135">
        <f t="shared" si="16"/>
        <v>11.7</v>
      </c>
      <c r="AH21" s="102">
        <f t="shared" si="20"/>
        <v>508</v>
      </c>
      <c r="AI21" s="102">
        <f t="shared" si="20"/>
        <v>10</v>
      </c>
      <c r="AJ21" s="101">
        <f t="shared" si="18"/>
        <v>0.72364672364672367</v>
      </c>
      <c r="AK21" s="101">
        <f t="shared" si="19"/>
        <v>0.85470085470085477</v>
      </c>
      <c r="AL21" s="102">
        <v>635</v>
      </c>
      <c r="AM21" s="135">
        <v>12.5</v>
      </c>
    </row>
    <row r="22" spans="1:39" outlineLevel="1" x14ac:dyDescent="0.3">
      <c r="C22" s="205">
        <v>3004</v>
      </c>
      <c r="D22" s="116" t="s">
        <v>455</v>
      </c>
      <c r="E22" s="116">
        <f>IFERROR(VLOOKUP($D22,[1]Тарифы!$D$7:$M$93,8,FALSE),0)</f>
        <v>10</v>
      </c>
      <c r="F22" s="115">
        <f>IFERROR(VLOOKUP($D22,[1]Тарифы!$D$7:$M$93,9,FALSE),0)</f>
        <v>650</v>
      </c>
      <c r="G22" s="114">
        <f>IFERROR(VLOOKUP($D22,[1]Тарифы!$D$7:$M$93,10,FALSE),0)</f>
        <v>121.55</v>
      </c>
      <c r="H22" s="142">
        <f>[2]Луидор!$F56*1.05*1.2</f>
        <v>3080.7124613999999</v>
      </c>
      <c r="I22" s="112">
        <f t="shared" si="0"/>
        <v>945.77872564979998</v>
      </c>
      <c r="J22" s="112">
        <f>[2]Луидор!$F61</f>
        <v>453.48424865976716</v>
      </c>
      <c r="K22" s="112">
        <f>[2]Луидор!$F63</f>
        <v>33.265570134910369</v>
      </c>
      <c r="L22" s="140">
        <f>[2]Луидор!$F77</f>
        <v>2078.2584064999996</v>
      </c>
      <c r="M22" s="139">
        <f t="shared" si="1"/>
        <v>6591.4994123444776</v>
      </c>
      <c r="N22" s="141">
        <f>[2]Луидор!$F27</f>
        <v>1972.0174893133915</v>
      </c>
      <c r="O22" s="112">
        <f>[2]Луидор!$F29</f>
        <v>0</v>
      </c>
      <c r="P22" s="109">
        <f>([2]Луидор!$F40)*1.3</f>
        <v>3954.6601525423735</v>
      </c>
      <c r="Q22" s="109">
        <f t="shared" si="2"/>
        <v>158.18640610169493</v>
      </c>
      <c r="R22" s="140">
        <f>[2]Луидор!$F53</f>
        <v>29.365792845083302</v>
      </c>
      <c r="S22" s="139">
        <f t="shared" si="3"/>
        <v>6114.2298408025426</v>
      </c>
      <c r="T22" s="138">
        <f t="shared" si="4"/>
        <v>12705.729253147019</v>
      </c>
      <c r="U22" s="137">
        <f t="shared" si="5"/>
        <v>665.74144064679217</v>
      </c>
      <c r="V22" s="136">
        <f t="shared" si="6"/>
        <v>9.5005725218624129</v>
      </c>
      <c r="W22" s="137">
        <f t="shared" si="7"/>
        <v>692.10743829617013</v>
      </c>
      <c r="X22" s="136">
        <f t="shared" si="8"/>
        <v>9.8768328197579542</v>
      </c>
      <c r="Y22" s="137">
        <f t="shared" si="9"/>
        <v>725.06493535789252</v>
      </c>
      <c r="Z22" s="136">
        <f t="shared" si="10"/>
        <v>10.347158192127381</v>
      </c>
      <c r="AA22" s="103"/>
      <c r="AB22" s="102">
        <f t="shared" si="11"/>
        <v>666</v>
      </c>
      <c r="AC22" s="135">
        <f t="shared" si="12"/>
        <v>9.6</v>
      </c>
      <c r="AD22" s="102">
        <f t="shared" si="13"/>
        <v>692</v>
      </c>
      <c r="AE22" s="135">
        <f t="shared" si="14"/>
        <v>9.9</v>
      </c>
      <c r="AF22" s="102">
        <f t="shared" si="15"/>
        <v>725</v>
      </c>
      <c r="AG22" s="135">
        <f t="shared" si="16"/>
        <v>10.4</v>
      </c>
      <c r="AH22" s="102">
        <f t="shared" si="20"/>
        <v>607.20000000000005</v>
      </c>
      <c r="AI22" s="102">
        <f t="shared" si="20"/>
        <v>10</v>
      </c>
      <c r="AJ22" s="101">
        <f t="shared" si="18"/>
        <v>0.83751724137931038</v>
      </c>
      <c r="AK22" s="101">
        <f t="shared" si="19"/>
        <v>0.96153846153846145</v>
      </c>
      <c r="AL22" s="102">
        <v>759</v>
      </c>
      <c r="AM22" s="135">
        <v>12.5</v>
      </c>
    </row>
    <row r="23" spans="1:39" outlineLevel="1" x14ac:dyDescent="0.3">
      <c r="C23" s="205">
        <v>3004</v>
      </c>
      <c r="D23" s="199" t="s">
        <v>454</v>
      </c>
      <c r="E23" s="116">
        <f>IFERROR(VLOOKUP($D23,[1]Тарифы!$D$7:$M$93,8,FALSE),0)</f>
        <v>10</v>
      </c>
      <c r="F23" s="115">
        <f>IFERROR(VLOOKUP($D23,[1]Тарифы!$D$7:$M$93,9,FALSE),0)</f>
        <v>650</v>
      </c>
      <c r="G23" s="114">
        <f>IFERROR(VLOOKUP($D23,[1]Тарифы!$D$7:$M$93,10,FALSE),0)</f>
        <v>121.55</v>
      </c>
      <c r="H23" s="142">
        <f>[2]Санитар27322Н!$F56*1.05*1.2</f>
        <v>3180.4299292500004</v>
      </c>
      <c r="I23" s="112">
        <f t="shared" si="0"/>
        <v>976.39198827975008</v>
      </c>
      <c r="J23" s="112">
        <f>[2]Санитар27322Н!$F61</f>
        <v>1594.82995951417</v>
      </c>
      <c r="K23" s="112">
        <f>[2]Санитар27322Н!$F63</f>
        <v>53.319838056680162</v>
      </c>
      <c r="L23" s="140">
        <f>[2]Санитар27322Н!$F77</f>
        <v>2145.528126875</v>
      </c>
      <c r="M23" s="139">
        <f t="shared" si="1"/>
        <v>7950.4998419756012</v>
      </c>
      <c r="N23" s="141">
        <f>[2]Санитар27322Н!$F27</f>
        <v>1972.0174893133915</v>
      </c>
      <c r="O23" s="112">
        <f>[2]Санитар27322Н!$F29</f>
        <v>173.95149473684211</v>
      </c>
      <c r="P23" s="109">
        <f>([2]Санитар27322Н!$F40)*1.3</f>
        <v>4164.0969830508475</v>
      </c>
      <c r="Q23" s="109">
        <f t="shared" si="2"/>
        <v>166.5638793220339</v>
      </c>
      <c r="R23" s="140">
        <f>[2]Санитар27322Н!$F53</f>
        <v>42.887531736773482</v>
      </c>
      <c r="S23" s="139">
        <f t="shared" si="3"/>
        <v>6519.5173781598896</v>
      </c>
      <c r="T23" s="138">
        <f t="shared" si="4"/>
        <v>14470.017220135491</v>
      </c>
      <c r="U23" s="137">
        <f t="shared" si="5"/>
        <v>803.00048403953565</v>
      </c>
      <c r="V23" s="136">
        <f t="shared" si="6"/>
        <v>10.130327002986906</v>
      </c>
      <c r="W23" s="137">
        <f t="shared" si="7"/>
        <v>834.80248340743822</v>
      </c>
      <c r="X23" s="136">
        <f t="shared" si="8"/>
        <v>10.531528072412129</v>
      </c>
      <c r="Y23" s="137">
        <f t="shared" si="9"/>
        <v>874.55498261731611</v>
      </c>
      <c r="Z23" s="136">
        <f t="shared" si="10"/>
        <v>11.033029409193659</v>
      </c>
      <c r="AA23" s="103"/>
      <c r="AB23" s="102">
        <f t="shared" si="11"/>
        <v>803</v>
      </c>
      <c r="AC23" s="135">
        <f t="shared" si="12"/>
        <v>10.199999999999999</v>
      </c>
      <c r="AD23" s="102">
        <f t="shared" si="13"/>
        <v>835</v>
      </c>
      <c r="AE23" s="135">
        <f t="shared" si="14"/>
        <v>10.6</v>
      </c>
      <c r="AF23" s="102">
        <f t="shared" si="15"/>
        <v>875</v>
      </c>
      <c r="AG23" s="135">
        <f t="shared" si="16"/>
        <v>11.1</v>
      </c>
      <c r="AH23" s="102">
        <f>AF23</f>
        <v>875</v>
      </c>
      <c r="AI23" s="102">
        <f>AG23</f>
        <v>11.1</v>
      </c>
      <c r="AJ23" s="101">
        <f t="shared" si="18"/>
        <v>1</v>
      </c>
      <c r="AK23" s="101">
        <f t="shared" si="19"/>
        <v>1</v>
      </c>
      <c r="AL23" s="102">
        <v>754</v>
      </c>
      <c r="AM23" s="135">
        <v>10.3</v>
      </c>
    </row>
    <row r="24" spans="1:39" x14ac:dyDescent="0.3">
      <c r="C24" s="205">
        <v>3022</v>
      </c>
      <c r="D24" s="116" t="s">
        <v>196</v>
      </c>
      <c r="E24" s="116">
        <f>IFERROR(VLOOKUP($D24,[1]Тарифы!$D$7:$M$93,8,FALSE),0)</f>
        <v>10</v>
      </c>
      <c r="F24" s="115">
        <f>IFERROR(VLOOKUP($D24,[1]Тарифы!$D$7:$M$93,9,FALSE),0)</f>
        <v>650</v>
      </c>
      <c r="G24" s="114">
        <f>IFERROR(VLOOKUP($D24,[1]Тарифы!$D$7:$M$93,10,FALSE),0)</f>
        <v>195</v>
      </c>
      <c r="H24" s="142">
        <f>[2]Аврора!$F56*1.05*1.2</f>
        <v>3482.8532877599996</v>
      </c>
      <c r="I24" s="112">
        <f t="shared" si="0"/>
        <v>1069.2359593423198</v>
      </c>
      <c r="J24" s="112">
        <f>[2]Аврора!$F61</f>
        <v>2319.1332513019856</v>
      </c>
      <c r="K24" s="112">
        <f>[2]Аврора!$F63</f>
        <v>105.03744339951236</v>
      </c>
      <c r="L24" s="140">
        <f>[2]Аврора!$F77</f>
        <v>2349.5438845999997</v>
      </c>
      <c r="M24" s="139">
        <f t="shared" si="1"/>
        <v>9325.8038264038187</v>
      </c>
      <c r="N24" s="141">
        <f>[2]Аврора!$F27</f>
        <v>1624.6558559078708</v>
      </c>
      <c r="O24" s="112">
        <f>[2]Аврора!$F29</f>
        <v>548.2551176470588</v>
      </c>
      <c r="P24" s="109">
        <f>([2]Аврора!$F40)*1.3</f>
        <v>6680.3694915254246</v>
      </c>
      <c r="Q24" s="109">
        <f t="shared" si="2"/>
        <v>267.21477966101696</v>
      </c>
      <c r="R24" s="140">
        <f>[2]Аврора!$F53</f>
        <v>0</v>
      </c>
      <c r="S24" s="139">
        <f t="shared" si="3"/>
        <v>9120.4952447413707</v>
      </c>
      <c r="T24" s="138">
        <f t="shared" si="4"/>
        <v>18446.299071145189</v>
      </c>
      <c r="U24" s="137">
        <f t="shared" si="5"/>
        <v>941.90618646678581</v>
      </c>
      <c r="V24" s="136">
        <f t="shared" si="6"/>
        <v>14.171846457213514</v>
      </c>
      <c r="W24" s="137">
        <f t="shared" si="7"/>
        <v>979.20940177240095</v>
      </c>
      <c r="X24" s="136">
        <f t="shared" si="8"/>
        <v>14.733107703043752</v>
      </c>
      <c r="Y24" s="137">
        <f t="shared" si="9"/>
        <v>1025.8384209044202</v>
      </c>
      <c r="Z24" s="136">
        <f t="shared" si="10"/>
        <v>15.434684260331551</v>
      </c>
      <c r="AA24" s="103"/>
      <c r="AB24" s="102">
        <f t="shared" si="11"/>
        <v>942</v>
      </c>
      <c r="AC24" s="135">
        <f t="shared" si="12"/>
        <v>14.2</v>
      </c>
      <c r="AD24" s="102">
        <f t="shared" si="13"/>
        <v>979</v>
      </c>
      <c r="AE24" s="135">
        <f t="shared" si="14"/>
        <v>14.799999999999999</v>
      </c>
      <c r="AF24" s="102">
        <f t="shared" si="15"/>
        <v>1026</v>
      </c>
      <c r="AG24" s="135">
        <f t="shared" si="16"/>
        <v>15.5</v>
      </c>
      <c r="AH24" s="102">
        <f t="shared" ref="AH24:AI29" si="21">AL24*0.8</f>
        <v>950.40000000000009</v>
      </c>
      <c r="AI24" s="102">
        <f t="shared" si="21"/>
        <v>15.12</v>
      </c>
      <c r="AJ24" s="101">
        <f t="shared" si="18"/>
        <v>0.92631578947368431</v>
      </c>
      <c r="AK24" s="101">
        <f t="shared" si="19"/>
        <v>0.97548387096774192</v>
      </c>
      <c r="AL24" s="102">
        <v>1188</v>
      </c>
      <c r="AM24" s="135">
        <v>18.899999999999999</v>
      </c>
    </row>
    <row r="25" spans="1:39" outlineLevel="1" x14ac:dyDescent="0.3">
      <c r="C25" s="205">
        <v>3023</v>
      </c>
      <c r="D25" s="116" t="s">
        <v>453</v>
      </c>
      <c r="E25" s="116">
        <f>IFERROR(VLOOKUP($D25,[1]Тарифы!$D$7:$M$93,8,FALSE),0)</f>
        <v>4</v>
      </c>
      <c r="F25" s="115">
        <f>IFERROR(VLOOKUP($D25,[1]Тарифы!$D$7:$M$93,9,FALSE),0)</f>
        <v>200</v>
      </c>
      <c r="G25" s="114">
        <f>IFERROR(VLOOKUP($D25,[1]Тарифы!$D$7:$M$93,10,FALSE),0)</f>
        <v>55.2</v>
      </c>
      <c r="H25" s="142">
        <f>[2]Паз4234!$F56*1.05*1.2</f>
        <v>2006.9286211799995</v>
      </c>
      <c r="I25" s="112">
        <f t="shared" si="0"/>
        <v>616.12708670225982</v>
      </c>
      <c r="J25" s="112">
        <f>[2]Паз4234!$F61</f>
        <v>1400.1855056955874</v>
      </c>
      <c r="K25" s="112">
        <f>[2]Паз4234!$F63</f>
        <v>107.05472557840849</v>
      </c>
      <c r="L25" s="140">
        <f>[2]Паз4234!$F77</f>
        <v>1353.8804190499998</v>
      </c>
      <c r="M25" s="139">
        <f t="shared" si="1"/>
        <v>5484.1763582062549</v>
      </c>
      <c r="N25" s="141">
        <f>[2]Паз4234!$F27</f>
        <v>390.13425628014124</v>
      </c>
      <c r="O25" s="112">
        <f>[2]Паз4234!$F29</f>
        <v>74.600571428571442</v>
      </c>
      <c r="P25" s="109">
        <f>([2]Паз4234!$F40)*1.3</f>
        <v>1891.0584406779662</v>
      </c>
      <c r="Q25" s="109">
        <f t="shared" si="2"/>
        <v>75.64233762711865</v>
      </c>
      <c r="R25" s="140">
        <f>[2]Паз4234!$F53</f>
        <v>0</v>
      </c>
      <c r="S25" s="139">
        <f t="shared" si="3"/>
        <v>2431.4356060137975</v>
      </c>
      <c r="T25" s="138">
        <f t="shared" si="4"/>
        <v>7915.611964220052</v>
      </c>
      <c r="U25" s="137">
        <f t="shared" si="5"/>
        <v>1384.7545304470793</v>
      </c>
      <c r="V25" s="136">
        <f t="shared" si="6"/>
        <v>12.278749810369677</v>
      </c>
      <c r="W25" s="137">
        <f t="shared" si="7"/>
        <v>1439.596294029142</v>
      </c>
      <c r="X25" s="136">
        <f t="shared" si="8"/>
        <v>12.765036931572437</v>
      </c>
      <c r="Y25" s="137">
        <f t="shared" si="9"/>
        <v>1508.14849850672</v>
      </c>
      <c r="Z25" s="136">
        <f t="shared" si="10"/>
        <v>13.372895833075885</v>
      </c>
      <c r="AA25" s="103"/>
      <c r="AB25" s="102">
        <f t="shared" si="11"/>
        <v>1385</v>
      </c>
      <c r="AC25" s="135">
        <f t="shared" si="12"/>
        <v>12.299999999999999</v>
      </c>
      <c r="AD25" s="102">
        <f t="shared" si="13"/>
        <v>1440</v>
      </c>
      <c r="AE25" s="135">
        <f t="shared" si="14"/>
        <v>12.799999999999999</v>
      </c>
      <c r="AF25" s="102">
        <f t="shared" si="15"/>
        <v>1508</v>
      </c>
      <c r="AG25" s="135">
        <f t="shared" si="16"/>
        <v>13.4</v>
      </c>
      <c r="AH25" s="102">
        <f t="shared" si="21"/>
        <v>1443.2</v>
      </c>
      <c r="AI25" s="102">
        <f t="shared" si="21"/>
        <v>13.280000000000001</v>
      </c>
      <c r="AJ25" s="101">
        <f t="shared" si="18"/>
        <v>0.95702917771883289</v>
      </c>
      <c r="AK25" s="101">
        <f t="shared" si="19"/>
        <v>0.991044776119403</v>
      </c>
      <c r="AL25" s="102">
        <v>1804</v>
      </c>
      <c r="AM25" s="135">
        <v>16.600000000000001</v>
      </c>
    </row>
    <row r="26" spans="1:39" outlineLevel="1" x14ac:dyDescent="0.3">
      <c r="C26" s="205">
        <v>3025</v>
      </c>
      <c r="D26" s="116" t="s">
        <v>207</v>
      </c>
      <c r="E26" s="116">
        <f>IFERROR(VLOOKUP($D26,[1]Тарифы!$D$7:$M$93,8,FALSE),0)</f>
        <v>10</v>
      </c>
      <c r="F26" s="115">
        <f>IFERROR(VLOOKUP($D26,[1]Тарифы!$D$7:$M$93,9,FALSE),0)</f>
        <v>650</v>
      </c>
      <c r="G26" s="114">
        <f>IFERROR(VLOOKUP($D26,[1]Тарифы!$D$7:$M$93,10,FALSE),0)</f>
        <v>292.5</v>
      </c>
      <c r="H26" s="142">
        <f>[2]Маз107!$F56*1.05*1.2</f>
        <v>4174.1748814500006</v>
      </c>
      <c r="I26" s="112">
        <f t="shared" si="0"/>
        <v>1281.4716886051501</v>
      </c>
      <c r="J26" s="112">
        <f>[2]Маз107!$F61</f>
        <v>4556.7684659322322</v>
      </c>
      <c r="K26" s="112">
        <f>[2]Маз107!$F63</f>
        <v>104.80017376194613</v>
      </c>
      <c r="L26" s="140">
        <f>[2]Маз107!$F77</f>
        <v>2815.9116263750007</v>
      </c>
      <c r="M26" s="139">
        <f t="shared" si="1"/>
        <v>12933.126836124329</v>
      </c>
      <c r="N26" s="141">
        <f>[2]Маз107!$F27</f>
        <v>309.24381806034569</v>
      </c>
      <c r="O26" s="112">
        <f>[2]Маз107!$F29</f>
        <v>731.0068235294118</v>
      </c>
      <c r="P26" s="109">
        <f>([2]Маз107!$F40)*1.3</f>
        <v>10020.554237288135</v>
      </c>
      <c r="Q26" s="109">
        <f t="shared" si="2"/>
        <v>400.82216949152541</v>
      </c>
      <c r="R26" s="140">
        <f>[2]Маз107!$F53</f>
        <v>0</v>
      </c>
      <c r="S26" s="139">
        <f t="shared" si="3"/>
        <v>11461.627048369417</v>
      </c>
      <c r="T26" s="138">
        <f t="shared" si="4"/>
        <v>24394.753884493744</v>
      </c>
      <c r="U26" s="137">
        <f t="shared" si="5"/>
        <v>1306.2458104485572</v>
      </c>
      <c r="V26" s="136">
        <f t="shared" si="6"/>
        <v>17.809605105927862</v>
      </c>
      <c r="W26" s="137">
        <f t="shared" si="7"/>
        <v>1357.9783177930544</v>
      </c>
      <c r="X26" s="136">
        <f t="shared" si="8"/>
        <v>18.514936001212135</v>
      </c>
      <c r="Y26" s="137">
        <f t="shared" si="9"/>
        <v>1422.6439519736764</v>
      </c>
      <c r="Z26" s="136">
        <f t="shared" si="10"/>
        <v>19.396599620317474</v>
      </c>
      <c r="AA26" s="103"/>
      <c r="AB26" s="102">
        <f t="shared" si="11"/>
        <v>1306</v>
      </c>
      <c r="AC26" s="135">
        <f t="shared" si="12"/>
        <v>17.900000000000002</v>
      </c>
      <c r="AD26" s="102">
        <f t="shared" si="13"/>
        <v>1358</v>
      </c>
      <c r="AE26" s="135">
        <f t="shared" si="14"/>
        <v>18.600000000000001</v>
      </c>
      <c r="AF26" s="102">
        <f t="shared" si="15"/>
        <v>1423</v>
      </c>
      <c r="AG26" s="135">
        <f t="shared" si="16"/>
        <v>19.400000000000002</v>
      </c>
      <c r="AH26" s="102">
        <f t="shared" si="21"/>
        <v>1370.4</v>
      </c>
      <c r="AI26" s="102">
        <f t="shared" si="21"/>
        <v>18.72</v>
      </c>
      <c r="AJ26" s="101">
        <f t="shared" si="18"/>
        <v>0.96303583977512308</v>
      </c>
      <c r="AK26" s="101">
        <f t="shared" si="19"/>
        <v>0.96494845360824721</v>
      </c>
      <c r="AL26" s="102">
        <v>1713</v>
      </c>
      <c r="AM26" s="135">
        <v>23.4</v>
      </c>
    </row>
    <row r="27" spans="1:39" outlineLevel="1" x14ac:dyDescent="0.3">
      <c r="C27" s="205">
        <v>3026</v>
      </c>
      <c r="D27" s="116" t="s">
        <v>211</v>
      </c>
      <c r="E27" s="116">
        <f>IFERROR(VLOOKUP($D27,[1]Тарифы!$D$7:$M$93,8,FALSE),0)</f>
        <v>10</v>
      </c>
      <c r="F27" s="115">
        <f>IFERROR(VLOOKUP($D27,[1]Тарифы!$D$7:$M$93,9,FALSE),0)</f>
        <v>650</v>
      </c>
      <c r="G27" s="114">
        <f>IFERROR(VLOOKUP($D27,[1]Тарифы!$D$7:$M$93,10,FALSE),0)</f>
        <v>243.1</v>
      </c>
      <c r="H27" s="142">
        <f>[2]Маз103!$F56*1.05*1.2</f>
        <v>3482.8532877599996</v>
      </c>
      <c r="I27" s="112">
        <f t="shared" si="0"/>
        <v>1069.2359593423198</v>
      </c>
      <c r="J27" s="112">
        <f>[2]Маз103!$F61</f>
        <v>3160.4423813079916</v>
      </c>
      <c r="K27" s="112">
        <f>[2]Маз103!$F63</f>
        <v>104.21166306695464</v>
      </c>
      <c r="L27" s="140">
        <f>[2]Маз103!$F77</f>
        <v>2349.5438845999997</v>
      </c>
      <c r="M27" s="139">
        <f t="shared" si="1"/>
        <v>10166.287176077265</v>
      </c>
      <c r="N27" s="141">
        <f>[2]Маз103!$F27</f>
        <v>396.72929810922494</v>
      </c>
      <c r="O27" s="112">
        <f>[2]Маз103!$F29</f>
        <v>548.2551176470588</v>
      </c>
      <c r="P27" s="109">
        <f>([2]Маз103!$F40)*1.3</f>
        <v>8328.193966101695</v>
      </c>
      <c r="Q27" s="109">
        <f t="shared" si="2"/>
        <v>333.1277586440678</v>
      </c>
      <c r="R27" s="140">
        <f>[2]Маз103!$F53</f>
        <v>0</v>
      </c>
      <c r="S27" s="139">
        <f t="shared" si="3"/>
        <v>9606.3061405020471</v>
      </c>
      <c r="T27" s="138">
        <f t="shared" si="4"/>
        <v>19772.59331657931</v>
      </c>
      <c r="U27" s="137">
        <f t="shared" si="5"/>
        <v>1026.7950047838037</v>
      </c>
      <c r="V27" s="136">
        <f t="shared" si="6"/>
        <v>14.926721849087796</v>
      </c>
      <c r="W27" s="137">
        <f t="shared" si="7"/>
        <v>1067.4601534881128</v>
      </c>
      <c r="X27" s="136">
        <f t="shared" si="8"/>
        <v>15.51787915004177</v>
      </c>
      <c r="Y27" s="137">
        <f t="shared" si="9"/>
        <v>1118.291589368499</v>
      </c>
      <c r="Z27" s="136">
        <f t="shared" si="10"/>
        <v>16.256825776234233</v>
      </c>
      <c r="AA27" s="103"/>
      <c r="AB27" s="102">
        <f t="shared" si="11"/>
        <v>1027</v>
      </c>
      <c r="AC27" s="135">
        <f t="shared" si="12"/>
        <v>15</v>
      </c>
      <c r="AD27" s="102">
        <f t="shared" si="13"/>
        <v>1067</v>
      </c>
      <c r="AE27" s="135">
        <f t="shared" si="14"/>
        <v>15.6</v>
      </c>
      <c r="AF27" s="102">
        <f t="shared" si="15"/>
        <v>1118</v>
      </c>
      <c r="AG27" s="135">
        <f t="shared" si="16"/>
        <v>16.3</v>
      </c>
      <c r="AH27" s="102">
        <f t="shared" si="21"/>
        <v>1034.4000000000001</v>
      </c>
      <c r="AI27" s="102">
        <f t="shared" si="21"/>
        <v>15.36</v>
      </c>
      <c r="AJ27" s="101">
        <f t="shared" si="18"/>
        <v>0.92522361359570671</v>
      </c>
      <c r="AK27" s="101">
        <f t="shared" si="19"/>
        <v>0.94233128834355817</v>
      </c>
      <c r="AL27" s="102">
        <v>1293</v>
      </c>
      <c r="AM27" s="135">
        <v>19.2</v>
      </c>
    </row>
    <row r="28" spans="1:39" outlineLevel="1" x14ac:dyDescent="0.3">
      <c r="C28" s="205"/>
      <c r="D28" s="199" t="s">
        <v>1</v>
      </c>
      <c r="E28" s="116">
        <f>VLOOKUP(D28,'[3]Прайс 2022'!D$12:E$99,2,0)</f>
        <v>10</v>
      </c>
      <c r="F28" s="115">
        <f>VLOOKUP(D28,'[3]Прайс 2022'!D$12:G$99,3,0)</f>
        <v>650</v>
      </c>
      <c r="G28" s="114">
        <f>VLOOKUP(D28,'[3]Прайс 2022'!D$12:G$99,4,0)</f>
        <v>471.25</v>
      </c>
      <c r="H28" s="142"/>
      <c r="I28" s="112"/>
      <c r="J28" s="112"/>
      <c r="K28" s="112"/>
      <c r="L28" s="140"/>
      <c r="M28" s="139"/>
      <c r="N28" s="141"/>
      <c r="O28" s="112"/>
      <c r="P28" s="112"/>
      <c r="Q28" s="112"/>
      <c r="R28" s="140"/>
      <c r="S28" s="139"/>
      <c r="T28" s="138"/>
      <c r="U28" s="137"/>
      <c r="V28" s="136"/>
      <c r="W28" s="137"/>
      <c r="X28" s="136"/>
      <c r="Y28" s="137"/>
      <c r="Z28" s="136"/>
      <c r="AA28" s="103"/>
      <c r="AB28" s="102"/>
      <c r="AC28" s="135"/>
      <c r="AD28" s="102"/>
      <c r="AE28" s="135"/>
      <c r="AF28" s="102"/>
      <c r="AG28" s="135"/>
      <c r="AH28" s="102">
        <f t="shared" si="21"/>
        <v>1764</v>
      </c>
      <c r="AI28" s="102">
        <f t="shared" si="21"/>
        <v>26.560000000000002</v>
      </c>
      <c r="AJ28" s="101"/>
      <c r="AK28" s="101"/>
      <c r="AL28" s="102">
        <v>2205</v>
      </c>
      <c r="AM28" s="135">
        <v>33.200000000000003</v>
      </c>
    </row>
    <row r="29" spans="1:39" outlineLevel="1" x14ac:dyDescent="0.3">
      <c r="C29" s="205"/>
      <c r="D29" s="199" t="s">
        <v>2</v>
      </c>
      <c r="E29" s="116">
        <v>10</v>
      </c>
      <c r="F29" s="115">
        <v>650</v>
      </c>
      <c r="G29" s="114">
        <f>F29/100*30.8</f>
        <v>200.20000000000002</v>
      </c>
      <c r="H29" s="142"/>
      <c r="I29" s="112"/>
      <c r="J29" s="112"/>
      <c r="K29" s="112"/>
      <c r="L29" s="140"/>
      <c r="M29" s="139"/>
      <c r="N29" s="141"/>
      <c r="O29" s="112"/>
      <c r="P29" s="112"/>
      <c r="Q29" s="112"/>
      <c r="R29" s="140"/>
      <c r="S29" s="139"/>
      <c r="T29" s="138"/>
      <c r="U29" s="137"/>
      <c r="V29" s="136"/>
      <c r="W29" s="137"/>
      <c r="X29" s="136"/>
      <c r="Y29" s="137"/>
      <c r="Z29" s="136"/>
      <c r="AA29" s="103"/>
      <c r="AB29" s="102"/>
      <c r="AC29" s="135"/>
      <c r="AD29" s="102"/>
      <c r="AE29" s="135"/>
      <c r="AF29" s="102"/>
      <c r="AG29" s="135"/>
      <c r="AH29" s="102">
        <f t="shared" si="21"/>
        <v>778.40000000000009</v>
      </c>
      <c r="AI29" s="102">
        <f t="shared" si="21"/>
        <v>16.32</v>
      </c>
      <c r="AJ29" s="101"/>
      <c r="AK29" s="101"/>
      <c r="AL29" s="102">
        <v>973</v>
      </c>
      <c r="AM29" s="135">
        <v>20.399999999999999</v>
      </c>
    </row>
    <row r="30" spans="1:39" outlineLevel="1" x14ac:dyDescent="0.3">
      <c r="C30" s="182" t="s">
        <v>30</v>
      </c>
      <c r="D30" s="181"/>
      <c r="E30" s="202"/>
      <c r="F30" s="201"/>
      <c r="G30" s="200"/>
      <c r="H30" s="180"/>
      <c r="I30" s="178"/>
      <c r="J30" s="178"/>
      <c r="K30" s="178"/>
      <c r="L30" s="177"/>
      <c r="M30" s="176"/>
      <c r="N30" s="179"/>
      <c r="O30" s="178"/>
      <c r="P30" s="178"/>
      <c r="Q30" s="178"/>
      <c r="R30" s="177"/>
      <c r="S30" s="176"/>
      <c r="T30" s="175"/>
      <c r="U30" s="174"/>
      <c r="V30" s="173"/>
      <c r="W30" s="174"/>
      <c r="X30" s="173"/>
      <c r="Y30" s="174"/>
      <c r="Z30" s="173"/>
      <c r="AB30" s="171">
        <f t="shared" ref="AB30:AB69" si="22">MROUND(U30,1)</f>
        <v>0</v>
      </c>
      <c r="AC30" s="170">
        <f t="shared" ref="AC30:AC69" si="23">ROUNDUP(V30,1)</f>
        <v>0</v>
      </c>
      <c r="AD30" s="171">
        <f t="shared" ref="AD30:AD69" si="24">MROUND(W30,1)</f>
        <v>0</v>
      </c>
      <c r="AE30" s="170">
        <f t="shared" ref="AE30:AE69" si="25">ROUNDUP(X30,1)</f>
        <v>0</v>
      </c>
      <c r="AF30" s="171"/>
      <c r="AG30" s="170"/>
      <c r="AH30" s="171"/>
      <c r="AI30" s="170"/>
      <c r="AJ30" s="172"/>
      <c r="AK30" s="172"/>
      <c r="AL30" s="171"/>
      <c r="AM30" s="170"/>
    </row>
    <row r="31" spans="1:39" outlineLevel="1" x14ac:dyDescent="0.3">
      <c r="C31" s="203"/>
      <c r="D31" s="169"/>
      <c r="E31" s="169"/>
      <c r="F31" s="169"/>
      <c r="G31" s="169"/>
      <c r="H31" s="168"/>
      <c r="I31" s="166"/>
      <c r="J31" s="166"/>
      <c r="K31" s="166"/>
      <c r="L31" s="165"/>
      <c r="M31" s="164"/>
      <c r="N31" s="167"/>
      <c r="O31" s="166"/>
      <c r="P31" s="166"/>
      <c r="Q31" s="166"/>
      <c r="R31" s="165"/>
      <c r="S31" s="164"/>
      <c r="T31" s="163"/>
      <c r="U31" s="162"/>
      <c r="V31" s="161"/>
      <c r="W31" s="162"/>
      <c r="X31" s="161"/>
      <c r="Y31" s="162"/>
      <c r="Z31" s="161"/>
      <c r="AB31" s="159">
        <f t="shared" si="22"/>
        <v>0</v>
      </c>
      <c r="AC31" s="158">
        <f t="shared" si="23"/>
        <v>0</v>
      </c>
      <c r="AD31" s="159">
        <f t="shared" si="24"/>
        <v>0</v>
      </c>
      <c r="AE31" s="158">
        <f t="shared" si="25"/>
        <v>0</v>
      </c>
      <c r="AF31" s="159"/>
      <c r="AG31" s="158"/>
      <c r="AH31" s="159"/>
      <c r="AI31" s="158"/>
      <c r="AJ31" s="160"/>
      <c r="AK31" s="160"/>
      <c r="AL31" s="159"/>
      <c r="AM31" s="158"/>
    </row>
    <row r="32" spans="1:39" outlineLevel="1" x14ac:dyDescent="0.3">
      <c r="C32" s="205">
        <f>[1]Тарифы!$C$34</f>
        <v>3005</v>
      </c>
      <c r="D32" s="116" t="str">
        <f>[1]Тарифы!$D$34</f>
        <v>КМУ</v>
      </c>
      <c r="E32" s="116">
        <f>IFERROR(VLOOKUP($D32,[1]Тарифы!$D$7:$M$93,8,FALSE),0)</f>
        <v>12</v>
      </c>
      <c r="F32" s="115">
        <f>IFERROR(VLOOKUP($D32,[1]Тарифы!$D$7:$M$93,9,FALSE),0)</f>
        <v>650</v>
      </c>
      <c r="G32" s="114">
        <f>IFERROR(VLOOKUP($D32,[1]Тарифы!$D$7:$M$93,10,FALSE),0)</f>
        <v>237.9</v>
      </c>
      <c r="H32" s="204">
        <f>[2]КМУ!F56*1.05*1.2</f>
        <v>5190.2908923600016</v>
      </c>
      <c r="I32" s="112">
        <f t="shared" ref="I32:I55" si="26">H32*0.307</f>
        <v>1593.4193039545205</v>
      </c>
      <c r="J32" s="112">
        <f>[2]КМУ!F61</f>
        <v>4422.458281956433</v>
      </c>
      <c r="K32" s="112">
        <f>[2]КМУ!F63</f>
        <v>153.18484175914509</v>
      </c>
      <c r="L32" s="140">
        <f>[2]КМУ!F77</f>
        <v>3501.3867131000006</v>
      </c>
      <c r="M32" s="139">
        <f t="shared" ref="M32:M55" si="27">SUM(H32:L32)</f>
        <v>14860.740033130101</v>
      </c>
      <c r="N32" s="141">
        <f>[2]КМУ!F27</f>
        <v>3591.2500000000005</v>
      </c>
      <c r="O32" s="112">
        <f>[2]КМУ!F29</f>
        <v>1249.19028</v>
      </c>
      <c r="P32" s="109">
        <f>([2]КМУ!F40)*1.3</f>
        <v>7740.1369830508493</v>
      </c>
      <c r="Q32" s="109">
        <f t="shared" ref="Q32:Q55" si="28">P32*0.04</f>
        <v>309.605479322034</v>
      </c>
      <c r="R32" s="140">
        <f>[2]КМУ!F53</f>
        <v>0</v>
      </c>
      <c r="S32" s="139">
        <f t="shared" ref="S32:S55" si="29">SUM(N32:R32)</f>
        <v>12890.182742372885</v>
      </c>
      <c r="T32" s="138">
        <f t="shared" ref="T32:T55" si="30">M32+S32</f>
        <v>27750.922775502986</v>
      </c>
      <c r="U32" s="137">
        <f t="shared" ref="U32:U55" si="31">((M32*$U$6)+M32)/E32</f>
        <v>1250.7789527884502</v>
      </c>
      <c r="V32" s="136">
        <f t="shared" ref="V32:V55" si="32">((S32*$U$6)+S32)/F32</f>
        <v>20.029360876610177</v>
      </c>
      <c r="W32" s="137">
        <f t="shared" ref="W32:W55" si="33">((M32*$W$6)+M32)/E32</f>
        <v>1300.3147528988839</v>
      </c>
      <c r="X32" s="136">
        <f t="shared" ref="X32:X55" si="34">((S32*$W$6)+S32)/F32</f>
        <v>20.822602891525431</v>
      </c>
      <c r="Y32" s="137">
        <f t="shared" ref="Y32:Y55" si="35">((M32*$Y$6)+M32)/E32</f>
        <v>1362.2345030369258</v>
      </c>
      <c r="Z32" s="136">
        <f t="shared" ref="Z32:Z55" si="36">((S32*$Y$6)+S32)/F32</f>
        <v>21.814155410169498</v>
      </c>
      <c r="AA32" s="103"/>
      <c r="AB32" s="102">
        <f t="shared" si="22"/>
        <v>1251</v>
      </c>
      <c r="AC32" s="135">
        <f t="shared" si="23"/>
        <v>20.100000000000001</v>
      </c>
      <c r="AD32" s="102">
        <f t="shared" si="24"/>
        <v>1300</v>
      </c>
      <c r="AE32" s="135">
        <f t="shared" si="25"/>
        <v>20.900000000000002</v>
      </c>
      <c r="AF32" s="102">
        <f t="shared" ref="AF32:AF55" si="37">MROUND(Y32,1)</f>
        <v>1362</v>
      </c>
      <c r="AG32" s="135">
        <f t="shared" ref="AG32:AG55" si="38">ROUNDUP(Z32,1)</f>
        <v>21.900000000000002</v>
      </c>
      <c r="AH32" s="102">
        <f t="shared" ref="AH32:AH40" si="39">AL32*0.8</f>
        <v>1279.2</v>
      </c>
      <c r="AI32" s="102">
        <f t="shared" ref="AI32:AI40" si="40">AM32*0.8</f>
        <v>21.12</v>
      </c>
      <c r="AJ32" s="101">
        <f t="shared" ref="AJ32:AJ55" si="41">AH32/AF32</f>
        <v>0.93920704845814984</v>
      </c>
      <c r="AK32" s="101">
        <f t="shared" ref="AK32:AK55" si="42">AI32/AG32</f>
        <v>0.96438356164383554</v>
      </c>
      <c r="AL32" s="102">
        <v>1599</v>
      </c>
      <c r="AM32" s="135">
        <v>26.4</v>
      </c>
    </row>
    <row r="33" spans="3:39" outlineLevel="1" x14ac:dyDescent="0.3">
      <c r="C33" s="203"/>
      <c r="D33" s="116" t="s">
        <v>414</v>
      </c>
      <c r="E33" s="116">
        <f>VLOOKUP(D33,'[3]Прайс 2022'!D$12:E$99,2,0)</f>
        <v>12</v>
      </c>
      <c r="F33" s="115">
        <f>VLOOKUP(D33,'[3]Прайс 2022'!D$12:G$99,3,0)</f>
        <v>650</v>
      </c>
      <c r="G33" s="114">
        <f>VLOOKUP(D33,'[3]Прайс 2022'!D$12:G$99,4,0)</f>
        <v>222.3</v>
      </c>
      <c r="H33" s="142">
        <f>2489.97416*1.05*1.2</f>
        <v>3137.3674416000003</v>
      </c>
      <c r="I33" s="112">
        <f t="shared" si="26"/>
        <v>963.17180457120014</v>
      </c>
      <c r="J33" s="112">
        <v>774.68533334159292</v>
      </c>
      <c r="K33" s="112">
        <v>41.118906504278449</v>
      </c>
      <c r="L33" s="140">
        <v>2116.4780359999995</v>
      </c>
      <c r="M33" s="139">
        <f t="shared" si="27"/>
        <v>7032.8215220170714</v>
      </c>
      <c r="N33" s="141">
        <v>5376.0566889929996</v>
      </c>
      <c r="O33" s="112">
        <v>1487.2884000000001</v>
      </c>
      <c r="P33" s="109">
        <v>7232.5870169491545</v>
      </c>
      <c r="Q33" s="109">
        <f t="shared" si="28"/>
        <v>289.30348067796621</v>
      </c>
      <c r="R33" s="140">
        <v>0</v>
      </c>
      <c r="S33" s="139">
        <f t="shared" si="29"/>
        <v>14385.235586620121</v>
      </c>
      <c r="T33" s="138">
        <f t="shared" si="30"/>
        <v>21418.057108637193</v>
      </c>
      <c r="U33" s="137">
        <f t="shared" si="31"/>
        <v>591.92914476977023</v>
      </c>
      <c r="V33" s="136">
        <f t="shared" si="32"/>
        <v>22.352442988440497</v>
      </c>
      <c r="W33" s="137">
        <f t="shared" si="33"/>
        <v>615.37188317649372</v>
      </c>
      <c r="X33" s="136">
        <f t="shared" si="34"/>
        <v>23.237688255309426</v>
      </c>
      <c r="Y33" s="137">
        <f t="shared" si="35"/>
        <v>644.6753061848982</v>
      </c>
      <c r="Z33" s="136">
        <f t="shared" si="36"/>
        <v>24.344244838895591</v>
      </c>
      <c r="AA33" s="103"/>
      <c r="AB33" s="102">
        <f t="shared" si="22"/>
        <v>592</v>
      </c>
      <c r="AC33" s="135">
        <f t="shared" si="23"/>
        <v>22.400000000000002</v>
      </c>
      <c r="AD33" s="102">
        <f t="shared" si="24"/>
        <v>615</v>
      </c>
      <c r="AE33" s="135">
        <f t="shared" si="25"/>
        <v>23.3</v>
      </c>
      <c r="AF33" s="102">
        <f t="shared" si="37"/>
        <v>645</v>
      </c>
      <c r="AG33" s="135">
        <f t="shared" si="38"/>
        <v>24.400000000000002</v>
      </c>
      <c r="AH33" s="102">
        <f t="shared" si="39"/>
        <v>719.2</v>
      </c>
      <c r="AI33" s="102">
        <f t="shared" si="40"/>
        <v>27.12</v>
      </c>
      <c r="AJ33" s="101">
        <f t="shared" si="41"/>
        <v>1.1150387596899225</v>
      </c>
      <c r="AK33" s="101">
        <f t="shared" si="42"/>
        <v>1.1114754098360655</v>
      </c>
      <c r="AL33" s="102">
        <v>899</v>
      </c>
      <c r="AM33" s="135">
        <v>33.9</v>
      </c>
    </row>
    <row r="34" spans="3:39" outlineLevel="1" x14ac:dyDescent="0.3">
      <c r="C34" s="203"/>
      <c r="D34" s="116" t="s">
        <v>415</v>
      </c>
      <c r="E34" s="116">
        <v>12</v>
      </c>
      <c r="F34" s="115">
        <v>650</v>
      </c>
      <c r="G34" s="114">
        <v>250.25</v>
      </c>
      <c r="H34" s="142">
        <f>2489.97416*1.05*1.2</f>
        <v>3137.3674416000003</v>
      </c>
      <c r="I34" s="112">
        <f t="shared" si="26"/>
        <v>963.17180457120014</v>
      </c>
      <c r="J34" s="112">
        <v>774.68533334159292</v>
      </c>
      <c r="K34" s="112">
        <v>41.118906504278449</v>
      </c>
      <c r="L34" s="140">
        <v>2116.4780359999995</v>
      </c>
      <c r="M34" s="139">
        <f t="shared" si="27"/>
        <v>7032.8215220170714</v>
      </c>
      <c r="N34" s="141">
        <v>5376.0566889929996</v>
      </c>
      <c r="O34" s="112">
        <v>1487.2884000000001</v>
      </c>
      <c r="P34" s="109">
        <v>7232.5870169491545</v>
      </c>
      <c r="Q34" s="109">
        <f t="shared" si="28"/>
        <v>289.30348067796621</v>
      </c>
      <c r="R34" s="140">
        <v>0</v>
      </c>
      <c r="S34" s="139">
        <f t="shared" si="29"/>
        <v>14385.235586620121</v>
      </c>
      <c r="T34" s="138">
        <f t="shared" si="30"/>
        <v>21418.057108637193</v>
      </c>
      <c r="U34" s="137">
        <f t="shared" si="31"/>
        <v>591.92914476977023</v>
      </c>
      <c r="V34" s="136">
        <f t="shared" si="32"/>
        <v>22.352442988440497</v>
      </c>
      <c r="W34" s="137">
        <f t="shared" si="33"/>
        <v>615.37188317649372</v>
      </c>
      <c r="X34" s="136">
        <f t="shared" si="34"/>
        <v>23.237688255309426</v>
      </c>
      <c r="Y34" s="137">
        <f t="shared" si="35"/>
        <v>644.6753061848982</v>
      </c>
      <c r="Z34" s="136">
        <f t="shared" si="36"/>
        <v>24.344244838895591</v>
      </c>
      <c r="AA34" s="103"/>
      <c r="AB34" s="102">
        <f t="shared" si="22"/>
        <v>592</v>
      </c>
      <c r="AC34" s="135">
        <f t="shared" si="23"/>
        <v>22.400000000000002</v>
      </c>
      <c r="AD34" s="102">
        <f t="shared" si="24"/>
        <v>615</v>
      </c>
      <c r="AE34" s="135">
        <f t="shared" si="25"/>
        <v>23.3</v>
      </c>
      <c r="AF34" s="102">
        <f t="shared" si="37"/>
        <v>645</v>
      </c>
      <c r="AG34" s="135">
        <f t="shared" si="38"/>
        <v>24.400000000000002</v>
      </c>
      <c r="AH34" s="102">
        <f t="shared" si="39"/>
        <v>653.6</v>
      </c>
      <c r="AI34" s="102">
        <f t="shared" si="40"/>
        <v>24.64</v>
      </c>
      <c r="AJ34" s="101">
        <f t="shared" si="41"/>
        <v>1.0133333333333334</v>
      </c>
      <c r="AK34" s="101">
        <f t="shared" si="42"/>
        <v>1.0098360655737704</v>
      </c>
      <c r="AL34" s="102">
        <v>817</v>
      </c>
      <c r="AM34" s="135">
        <v>30.8</v>
      </c>
    </row>
    <row r="35" spans="3:39" outlineLevel="1" x14ac:dyDescent="0.3">
      <c r="C35" s="203"/>
      <c r="D35" s="116" t="s">
        <v>416</v>
      </c>
      <c r="E35" s="116">
        <v>12</v>
      </c>
      <c r="F35" s="115">
        <v>650</v>
      </c>
      <c r="G35" s="114">
        <v>250.25</v>
      </c>
      <c r="H35" s="142">
        <f>2889.38876*1.05*1.2</f>
        <v>3640.6298376</v>
      </c>
      <c r="I35" s="112">
        <f t="shared" si="26"/>
        <v>1117.6733601431999</v>
      </c>
      <c r="J35" s="112">
        <v>4035.101685150511</v>
      </c>
      <c r="K35" s="112">
        <v>137.6409837246147</v>
      </c>
      <c r="L35" s="140">
        <v>2455.9804459999996</v>
      </c>
      <c r="M35" s="139">
        <f t="shared" si="27"/>
        <v>11387.026312618327</v>
      </c>
      <c r="N35" s="141">
        <v>1264.9545150571766</v>
      </c>
      <c r="O35" s="112">
        <v>2498.3805600000001</v>
      </c>
      <c r="P35" s="109">
        <v>8141.9473728813573</v>
      </c>
      <c r="Q35" s="109">
        <f t="shared" si="28"/>
        <v>325.67789491525429</v>
      </c>
      <c r="R35" s="140">
        <v>0</v>
      </c>
      <c r="S35" s="139">
        <f t="shared" si="29"/>
        <v>12230.960342853788</v>
      </c>
      <c r="T35" s="138">
        <f t="shared" si="30"/>
        <v>23617.986655472116</v>
      </c>
      <c r="U35" s="137">
        <f t="shared" si="31"/>
        <v>958.40804797870931</v>
      </c>
      <c r="V35" s="136">
        <f t="shared" si="32"/>
        <v>19.005030686588192</v>
      </c>
      <c r="W35" s="137">
        <f t="shared" si="33"/>
        <v>996.36480235410363</v>
      </c>
      <c r="X35" s="136">
        <f t="shared" si="34"/>
        <v>19.75770516922535</v>
      </c>
      <c r="Y35" s="137">
        <f t="shared" si="35"/>
        <v>1043.8107453233467</v>
      </c>
      <c r="Z35" s="136">
        <f t="shared" si="36"/>
        <v>20.698548272521798</v>
      </c>
      <c r="AA35" s="103"/>
      <c r="AB35" s="102">
        <f t="shared" si="22"/>
        <v>958</v>
      </c>
      <c r="AC35" s="135">
        <f t="shared" si="23"/>
        <v>19.100000000000001</v>
      </c>
      <c r="AD35" s="102">
        <f t="shared" si="24"/>
        <v>996</v>
      </c>
      <c r="AE35" s="135">
        <f t="shared" si="25"/>
        <v>19.8</v>
      </c>
      <c r="AF35" s="102">
        <f t="shared" si="37"/>
        <v>1044</v>
      </c>
      <c r="AG35" s="135">
        <f t="shared" si="38"/>
        <v>20.700000000000003</v>
      </c>
      <c r="AH35" s="102">
        <f t="shared" si="39"/>
        <v>1025.6000000000001</v>
      </c>
      <c r="AI35" s="102">
        <f t="shared" si="40"/>
        <v>18.72</v>
      </c>
      <c r="AJ35" s="101">
        <f t="shared" si="41"/>
        <v>0.98237547892720323</v>
      </c>
      <c r="AK35" s="101">
        <f t="shared" si="42"/>
        <v>0.9043478260869563</v>
      </c>
      <c r="AL35" s="102">
        <v>1282</v>
      </c>
      <c r="AM35" s="135">
        <v>23.4</v>
      </c>
    </row>
    <row r="36" spans="3:39" outlineLevel="1" x14ac:dyDescent="0.3">
      <c r="C36" s="203"/>
      <c r="D36" s="116" t="s">
        <v>417</v>
      </c>
      <c r="E36" s="116">
        <v>12</v>
      </c>
      <c r="F36" s="115">
        <v>650</v>
      </c>
      <c r="G36" s="114">
        <v>228.8</v>
      </c>
      <c r="H36" s="142">
        <f>2889.38876*1.05*1.2</f>
        <v>3640.6298376</v>
      </c>
      <c r="I36" s="112">
        <f t="shared" si="26"/>
        <v>1117.6733601431999</v>
      </c>
      <c r="J36" s="112">
        <v>3483.7839489768803</v>
      </c>
      <c r="K36" s="112">
        <v>137.6409837246147</v>
      </c>
      <c r="L36" s="140">
        <v>2455.9804459999996</v>
      </c>
      <c r="M36" s="139">
        <f t="shared" si="27"/>
        <v>10835.708576444697</v>
      </c>
      <c r="N36" s="141">
        <v>2150.4226755972004</v>
      </c>
      <c r="O36" s="112">
        <v>2998.0566720000002</v>
      </c>
      <c r="P36" s="109">
        <v>7444.066169491527</v>
      </c>
      <c r="Q36" s="109">
        <f t="shared" si="28"/>
        <v>297.76264677966111</v>
      </c>
      <c r="R36" s="140">
        <v>0</v>
      </c>
      <c r="S36" s="139">
        <f t="shared" si="29"/>
        <v>12890.308163868389</v>
      </c>
      <c r="T36" s="138">
        <f t="shared" si="30"/>
        <v>23726.016740313084</v>
      </c>
      <c r="U36" s="137">
        <f t="shared" si="31"/>
        <v>912.00547185076186</v>
      </c>
      <c r="V36" s="136">
        <f t="shared" si="32"/>
        <v>20.029555762318573</v>
      </c>
      <c r="W36" s="137">
        <f t="shared" si="33"/>
        <v>948.12450043891101</v>
      </c>
      <c r="X36" s="136">
        <f t="shared" si="34"/>
        <v>20.822805495479706</v>
      </c>
      <c r="Y36" s="137">
        <f t="shared" si="35"/>
        <v>993.27328617409728</v>
      </c>
      <c r="Z36" s="136">
        <f t="shared" si="36"/>
        <v>21.814367661931122</v>
      </c>
      <c r="AA36" s="103"/>
      <c r="AB36" s="102">
        <f t="shared" si="22"/>
        <v>912</v>
      </c>
      <c r="AC36" s="135">
        <f t="shared" si="23"/>
        <v>20.100000000000001</v>
      </c>
      <c r="AD36" s="102">
        <f t="shared" si="24"/>
        <v>948</v>
      </c>
      <c r="AE36" s="135">
        <f t="shared" si="25"/>
        <v>20.900000000000002</v>
      </c>
      <c r="AF36" s="102">
        <f t="shared" si="37"/>
        <v>993</v>
      </c>
      <c r="AG36" s="135">
        <f t="shared" si="38"/>
        <v>21.900000000000002</v>
      </c>
      <c r="AH36" s="102">
        <f t="shared" si="39"/>
        <v>1084</v>
      </c>
      <c r="AI36" s="102">
        <f t="shared" si="40"/>
        <v>22.64</v>
      </c>
      <c r="AJ36" s="101">
        <f t="shared" si="41"/>
        <v>1.0916414904330312</v>
      </c>
      <c r="AK36" s="101">
        <f t="shared" si="42"/>
        <v>1.0337899543378994</v>
      </c>
      <c r="AL36" s="102">
        <v>1355</v>
      </c>
      <c r="AM36" s="135">
        <v>28.3</v>
      </c>
    </row>
    <row r="37" spans="3:39" outlineLevel="1" x14ac:dyDescent="0.3">
      <c r="C37" s="203"/>
      <c r="D37" s="116" t="s">
        <v>90</v>
      </c>
      <c r="E37" s="116">
        <f>VLOOKUP(D37,'[3]Прайс 2022'!D$12:E$99,2,0)</f>
        <v>12</v>
      </c>
      <c r="F37" s="115">
        <f>VLOOKUP(D37,'[3]Прайс 2022'!D$12:G$99,3,0)</f>
        <v>650</v>
      </c>
      <c r="G37" s="114">
        <f>VLOOKUP(D37,'[3]Прайс 2022'!D$12:G$99,4,0)</f>
        <v>228.8</v>
      </c>
      <c r="H37" s="142">
        <f>H36</f>
        <v>3640.6298376</v>
      </c>
      <c r="I37" s="112">
        <f t="shared" si="26"/>
        <v>1117.6733601431999</v>
      </c>
      <c r="J37" s="112">
        <f>J36</f>
        <v>3483.7839489768803</v>
      </c>
      <c r="K37" s="112">
        <f>K36</f>
        <v>137.6409837246147</v>
      </c>
      <c r="L37" s="140">
        <f>L36</f>
        <v>2455.9804459999996</v>
      </c>
      <c r="M37" s="139">
        <f t="shared" si="27"/>
        <v>10835.708576444697</v>
      </c>
      <c r="N37" s="141">
        <f>N36</f>
        <v>2150.4226755972004</v>
      </c>
      <c r="O37" s="112">
        <f>O36</f>
        <v>2998.0566720000002</v>
      </c>
      <c r="P37" s="109">
        <f>(P36)</f>
        <v>7444.066169491527</v>
      </c>
      <c r="Q37" s="109">
        <f t="shared" si="28"/>
        <v>297.76264677966111</v>
      </c>
      <c r="R37" s="140">
        <f>R36</f>
        <v>0</v>
      </c>
      <c r="S37" s="139">
        <f t="shared" si="29"/>
        <v>12890.308163868389</v>
      </c>
      <c r="T37" s="138">
        <f t="shared" si="30"/>
        <v>23726.016740313084</v>
      </c>
      <c r="U37" s="137">
        <f t="shared" si="31"/>
        <v>912.00547185076186</v>
      </c>
      <c r="V37" s="136">
        <f t="shared" si="32"/>
        <v>20.029555762318573</v>
      </c>
      <c r="W37" s="137">
        <f t="shared" si="33"/>
        <v>948.12450043891101</v>
      </c>
      <c r="X37" s="136">
        <f t="shared" si="34"/>
        <v>20.822805495479706</v>
      </c>
      <c r="Y37" s="137">
        <f t="shared" si="35"/>
        <v>993.27328617409728</v>
      </c>
      <c r="Z37" s="136">
        <f t="shared" si="36"/>
        <v>21.814367661931122</v>
      </c>
      <c r="AA37" s="103"/>
      <c r="AB37" s="102">
        <f t="shared" si="22"/>
        <v>912</v>
      </c>
      <c r="AC37" s="135">
        <f t="shared" si="23"/>
        <v>20.100000000000001</v>
      </c>
      <c r="AD37" s="102">
        <f t="shared" si="24"/>
        <v>948</v>
      </c>
      <c r="AE37" s="135">
        <f t="shared" si="25"/>
        <v>20.900000000000002</v>
      </c>
      <c r="AF37" s="102">
        <f t="shared" si="37"/>
        <v>993</v>
      </c>
      <c r="AG37" s="135">
        <f t="shared" si="38"/>
        <v>21.900000000000002</v>
      </c>
      <c r="AH37" s="102">
        <f t="shared" si="39"/>
        <v>953.6</v>
      </c>
      <c r="AI37" s="102">
        <f t="shared" si="40"/>
        <v>19.920000000000002</v>
      </c>
      <c r="AJ37" s="101">
        <f t="shared" si="41"/>
        <v>0.96032225579053376</v>
      </c>
      <c r="AK37" s="101">
        <f t="shared" si="42"/>
        <v>0.90958904109589045</v>
      </c>
      <c r="AL37" s="102">
        <v>1192</v>
      </c>
      <c r="AM37" s="135">
        <v>24.9</v>
      </c>
    </row>
    <row r="38" spans="3:39" outlineLevel="1" x14ac:dyDescent="0.3">
      <c r="C38" s="203"/>
      <c r="D38" s="116" t="s">
        <v>86</v>
      </c>
      <c r="E38" s="116">
        <f>VLOOKUP(D38,'[3]Прайс 2022'!D$12:E$99,2,0)</f>
        <v>12</v>
      </c>
      <c r="F38" s="115">
        <f>VLOOKUP(D38,'[3]Прайс 2022'!D$12:G$99,3,0)</f>
        <v>650</v>
      </c>
      <c r="G38" s="114">
        <f>VLOOKUP(D38,'[3]Прайс 2022'!D$12:G$99,4,0)</f>
        <v>284.7</v>
      </c>
      <c r="H38" s="142">
        <f>2889.38876*1.05*1.2</f>
        <v>3640.6298376</v>
      </c>
      <c r="I38" s="112">
        <f t="shared" si="26"/>
        <v>1117.6733601431999</v>
      </c>
      <c r="J38" s="112">
        <v>76.676267281105993</v>
      </c>
      <c r="K38" s="112">
        <v>100.23041474654379</v>
      </c>
      <c r="L38" s="140">
        <v>2455.9804459999996</v>
      </c>
      <c r="M38" s="139">
        <f t="shared" si="27"/>
        <v>7391.1903257708491</v>
      </c>
      <c r="N38" s="141">
        <v>6660.6111955072765</v>
      </c>
      <c r="O38" s="112">
        <v>2583.0350000000003</v>
      </c>
      <c r="P38" s="109">
        <v>9262.7868813559344</v>
      </c>
      <c r="Q38" s="109">
        <f t="shared" si="28"/>
        <v>370.51147525423738</v>
      </c>
      <c r="R38" s="140">
        <v>0</v>
      </c>
      <c r="S38" s="139">
        <f t="shared" si="29"/>
        <v>18876.944552117449</v>
      </c>
      <c r="T38" s="138">
        <f t="shared" si="30"/>
        <v>26268.134877888297</v>
      </c>
      <c r="U38" s="137">
        <f t="shared" si="31"/>
        <v>622.0918524190464</v>
      </c>
      <c r="V38" s="136">
        <f t="shared" si="32"/>
        <v>29.331867688674805</v>
      </c>
      <c r="W38" s="137">
        <f t="shared" si="33"/>
        <v>646.72915350494929</v>
      </c>
      <c r="X38" s="136">
        <f t="shared" si="34"/>
        <v>30.493525814958954</v>
      </c>
      <c r="Y38" s="137">
        <f t="shared" si="35"/>
        <v>677.52577986232779</v>
      </c>
      <c r="Z38" s="136">
        <f t="shared" si="36"/>
        <v>31.945598472814147</v>
      </c>
      <c r="AA38" s="103"/>
      <c r="AB38" s="102">
        <f t="shared" si="22"/>
        <v>622</v>
      </c>
      <c r="AC38" s="135">
        <f t="shared" si="23"/>
        <v>29.400000000000002</v>
      </c>
      <c r="AD38" s="102">
        <f t="shared" si="24"/>
        <v>647</v>
      </c>
      <c r="AE38" s="135">
        <f t="shared" si="25"/>
        <v>30.5</v>
      </c>
      <c r="AF38" s="102">
        <f t="shared" si="37"/>
        <v>678</v>
      </c>
      <c r="AG38" s="135">
        <f t="shared" si="38"/>
        <v>32</v>
      </c>
      <c r="AH38" s="102">
        <f t="shared" si="39"/>
        <v>676.80000000000007</v>
      </c>
      <c r="AI38" s="102">
        <f t="shared" si="40"/>
        <v>32.56</v>
      </c>
      <c r="AJ38" s="101">
        <f t="shared" si="41"/>
        <v>0.99823008849557537</v>
      </c>
      <c r="AK38" s="101">
        <f t="shared" si="42"/>
        <v>1.0175000000000001</v>
      </c>
      <c r="AL38" s="102">
        <v>846</v>
      </c>
      <c r="AM38" s="135">
        <v>40.700000000000003</v>
      </c>
    </row>
    <row r="39" spans="3:39" outlineLevel="1" x14ac:dyDescent="0.3">
      <c r="C39" s="203"/>
      <c r="D39" s="116" t="s">
        <v>87</v>
      </c>
      <c r="E39" s="116">
        <f>IFERROR(VLOOKUP($D39,[1]Тарифы!$D$7:$M$93,8,FALSE),0)</f>
        <v>12</v>
      </c>
      <c r="F39" s="115">
        <f>IFERROR(VLOOKUP($D39,[1]Тарифы!$D$7:$M$93,9,FALSE),0)</f>
        <v>650</v>
      </c>
      <c r="G39" s="114">
        <v>284.7</v>
      </c>
      <c r="H39" s="142">
        <f>2889.38876*1.05*1.2</f>
        <v>3640.6298376</v>
      </c>
      <c r="I39" s="112">
        <f t="shared" si="26"/>
        <v>1117.6733601431999</v>
      </c>
      <c r="J39" s="112">
        <v>4422.458281956433</v>
      </c>
      <c r="K39" s="112">
        <v>152.39021235785725</v>
      </c>
      <c r="L39" s="140">
        <v>2455.9804459999996</v>
      </c>
      <c r="M39" s="139">
        <f t="shared" si="27"/>
        <v>11789.13213805749</v>
      </c>
      <c r="N39" s="141">
        <v>2762.5</v>
      </c>
      <c r="O39" s="112">
        <v>1040.9919</v>
      </c>
      <c r="P39" s="109">
        <v>9262.7868813559344</v>
      </c>
      <c r="Q39" s="109">
        <f t="shared" si="28"/>
        <v>370.51147525423738</v>
      </c>
      <c r="R39" s="140">
        <v>0</v>
      </c>
      <c r="S39" s="139">
        <f t="shared" si="29"/>
        <v>13436.790256610171</v>
      </c>
      <c r="T39" s="138">
        <f t="shared" si="30"/>
        <v>25225.922394667661</v>
      </c>
      <c r="U39" s="137">
        <f t="shared" si="31"/>
        <v>992.25195495317212</v>
      </c>
      <c r="V39" s="136">
        <f t="shared" si="32"/>
        <v>20.878704860271188</v>
      </c>
      <c r="W39" s="137">
        <f t="shared" si="33"/>
        <v>1031.5490620800304</v>
      </c>
      <c r="X39" s="136">
        <f t="shared" si="34"/>
        <v>21.70558426067797</v>
      </c>
      <c r="Y39" s="137">
        <f t="shared" si="35"/>
        <v>1080.6704459886032</v>
      </c>
      <c r="Z39" s="136">
        <f t="shared" si="36"/>
        <v>22.739183511186443</v>
      </c>
      <c r="AA39" s="103"/>
      <c r="AB39" s="102">
        <f t="shared" si="22"/>
        <v>992</v>
      </c>
      <c r="AC39" s="135">
        <f t="shared" si="23"/>
        <v>20.900000000000002</v>
      </c>
      <c r="AD39" s="102">
        <f t="shared" si="24"/>
        <v>1032</v>
      </c>
      <c r="AE39" s="135">
        <f t="shared" si="25"/>
        <v>21.8</v>
      </c>
      <c r="AF39" s="102">
        <f t="shared" si="37"/>
        <v>1081</v>
      </c>
      <c r="AG39" s="135">
        <f t="shared" si="38"/>
        <v>22.8</v>
      </c>
      <c r="AH39" s="102">
        <f t="shared" si="39"/>
        <v>1322.4</v>
      </c>
      <c r="AI39" s="102">
        <f t="shared" si="40"/>
        <v>25.36</v>
      </c>
      <c r="AJ39" s="101">
        <f t="shared" si="41"/>
        <v>1.2233117483811287</v>
      </c>
      <c r="AK39" s="101">
        <f t="shared" si="42"/>
        <v>1.1122807017543859</v>
      </c>
      <c r="AL39" s="102">
        <v>1653</v>
      </c>
      <c r="AM39" s="135">
        <v>31.7</v>
      </c>
    </row>
    <row r="40" spans="3:39" outlineLevel="1" x14ac:dyDescent="0.3">
      <c r="C40" s="203"/>
      <c r="D40" s="116" t="s">
        <v>88</v>
      </c>
      <c r="E40" s="116">
        <f>IFERROR(VLOOKUP($D40,[1]Тарифы!$D$7:$M$93,8,FALSE),0)</f>
        <v>12</v>
      </c>
      <c r="F40" s="115">
        <f>IFERROR(VLOOKUP($D40,[1]Тарифы!$D$7:$M$93,9,FALSE),0)</f>
        <v>650</v>
      </c>
      <c r="G40" s="114">
        <v>391.3</v>
      </c>
      <c r="H40" s="142">
        <f>2889.38876*1.05*1.2</f>
        <v>3640.6298376</v>
      </c>
      <c r="I40" s="112">
        <f t="shared" si="26"/>
        <v>1117.6733601431999</v>
      </c>
      <c r="J40" s="112">
        <v>5768.1715320208195</v>
      </c>
      <c r="K40" s="112">
        <v>167.80510824470093</v>
      </c>
      <c r="L40" s="140">
        <v>2455.9804459999996</v>
      </c>
      <c r="M40" s="139">
        <f t="shared" si="27"/>
        <v>13150.260284008722</v>
      </c>
      <c r="N40" s="141">
        <v>2664.2444782029106</v>
      </c>
      <c r="O40" s="112">
        <v>4680</v>
      </c>
      <c r="P40" s="109">
        <v>12731.04498305085</v>
      </c>
      <c r="Q40" s="109">
        <f t="shared" si="28"/>
        <v>509.24179932203401</v>
      </c>
      <c r="R40" s="140">
        <v>444.92004863436398</v>
      </c>
      <c r="S40" s="139">
        <f t="shared" si="29"/>
        <v>21029.451309210159</v>
      </c>
      <c r="T40" s="138">
        <f t="shared" si="30"/>
        <v>34179.711593218883</v>
      </c>
      <c r="U40" s="137">
        <f t="shared" si="31"/>
        <v>1106.8135739040674</v>
      </c>
      <c r="V40" s="136">
        <f t="shared" si="32"/>
        <v>32.676532034311165</v>
      </c>
      <c r="W40" s="137">
        <f t="shared" si="33"/>
        <v>1150.6477748507632</v>
      </c>
      <c r="X40" s="136">
        <f t="shared" si="34"/>
        <v>33.970652114877943</v>
      </c>
      <c r="Y40" s="137">
        <f t="shared" si="35"/>
        <v>1205.440526034133</v>
      </c>
      <c r="Z40" s="136">
        <f t="shared" si="36"/>
        <v>35.588302215586424</v>
      </c>
      <c r="AA40" s="103"/>
      <c r="AB40" s="102">
        <f t="shared" si="22"/>
        <v>1107</v>
      </c>
      <c r="AC40" s="135">
        <f t="shared" si="23"/>
        <v>32.700000000000003</v>
      </c>
      <c r="AD40" s="102">
        <f t="shared" si="24"/>
        <v>1151</v>
      </c>
      <c r="AE40" s="135">
        <f t="shared" si="25"/>
        <v>34</v>
      </c>
      <c r="AF40" s="102">
        <f t="shared" si="37"/>
        <v>1205</v>
      </c>
      <c r="AG40" s="135">
        <f t="shared" si="38"/>
        <v>35.6</v>
      </c>
      <c r="AH40" s="102">
        <f t="shared" si="39"/>
        <v>1285.6000000000001</v>
      </c>
      <c r="AI40" s="102">
        <f t="shared" si="40"/>
        <v>35.119999999999997</v>
      </c>
      <c r="AJ40" s="101">
        <f t="shared" si="41"/>
        <v>1.0668879668049793</v>
      </c>
      <c r="AK40" s="101">
        <f t="shared" si="42"/>
        <v>0.98651685393258415</v>
      </c>
      <c r="AL40" s="102">
        <v>1607</v>
      </c>
      <c r="AM40" s="135">
        <v>43.9</v>
      </c>
    </row>
    <row r="41" spans="3:39" outlineLevel="1" x14ac:dyDescent="0.3">
      <c r="C41" s="203"/>
      <c r="D41" s="199" t="s">
        <v>452</v>
      </c>
      <c r="E41" s="116">
        <f>VLOOKUP(D41,'[3]Прайс 2022'!D$12:E$99,2,0)</f>
        <v>12</v>
      </c>
      <c r="F41" s="115">
        <f>VLOOKUP(D41,'[3]Прайс 2022'!D$12:G$99,3,0)</f>
        <v>650</v>
      </c>
      <c r="G41" s="114">
        <f>VLOOKUP(D41,'[3]Прайс 2022'!D$12:G$99,4,0)</f>
        <v>262.59999999999997</v>
      </c>
      <c r="H41" s="142">
        <f>H40*2</f>
        <v>7281.2596751999999</v>
      </c>
      <c r="I41" s="112">
        <f t="shared" si="26"/>
        <v>2235.3467202863999</v>
      </c>
      <c r="J41" s="112">
        <f>J40*2</f>
        <v>11536.343064041639</v>
      </c>
      <c r="K41" s="112">
        <f>K40*2</f>
        <v>335.61021648940186</v>
      </c>
      <c r="L41" s="140">
        <f>L40*2</f>
        <v>4911.9608919999991</v>
      </c>
      <c r="M41" s="139">
        <f t="shared" si="27"/>
        <v>26300.520568017444</v>
      </c>
      <c r="N41" s="141">
        <f>N40*2</f>
        <v>5328.4889564058212</v>
      </c>
      <c r="O41" s="112">
        <f>O40*2</f>
        <v>9360</v>
      </c>
      <c r="P41" s="109">
        <f>(P40*2)</f>
        <v>25462.089966101699</v>
      </c>
      <c r="Q41" s="109">
        <f t="shared" si="28"/>
        <v>1018.483598644068</v>
      </c>
      <c r="R41" s="140">
        <f>R40*2</f>
        <v>889.84009726872796</v>
      </c>
      <c r="S41" s="139">
        <f t="shared" si="29"/>
        <v>42058.902618420318</v>
      </c>
      <c r="T41" s="138">
        <f t="shared" si="30"/>
        <v>68359.423186437765</v>
      </c>
      <c r="U41" s="137">
        <f t="shared" si="31"/>
        <v>2213.6271478081349</v>
      </c>
      <c r="V41" s="136">
        <f t="shared" si="32"/>
        <v>65.353064068622331</v>
      </c>
      <c r="W41" s="137">
        <f t="shared" si="33"/>
        <v>2301.2955497015264</v>
      </c>
      <c r="X41" s="136">
        <f t="shared" si="34"/>
        <v>67.941304229755886</v>
      </c>
      <c r="Y41" s="137">
        <f t="shared" si="35"/>
        <v>2410.8810520682659</v>
      </c>
      <c r="Z41" s="136">
        <f t="shared" si="36"/>
        <v>71.176604431172848</v>
      </c>
      <c r="AA41" s="103"/>
      <c r="AB41" s="102">
        <f t="shared" si="22"/>
        <v>2214</v>
      </c>
      <c r="AC41" s="135">
        <f t="shared" si="23"/>
        <v>65.399999999999991</v>
      </c>
      <c r="AD41" s="102">
        <f t="shared" si="24"/>
        <v>2301</v>
      </c>
      <c r="AE41" s="135">
        <f t="shared" si="25"/>
        <v>68</v>
      </c>
      <c r="AF41" s="102">
        <f t="shared" si="37"/>
        <v>2411</v>
      </c>
      <c r="AG41" s="135">
        <f t="shared" si="38"/>
        <v>71.199999999999989</v>
      </c>
      <c r="AH41" s="102">
        <f>AF41</f>
        <v>2411</v>
      </c>
      <c r="AI41" s="102">
        <f>AG41</f>
        <v>71.199999999999989</v>
      </c>
      <c r="AJ41" s="101">
        <f t="shared" si="41"/>
        <v>1</v>
      </c>
      <c r="AK41" s="101">
        <f t="shared" si="42"/>
        <v>1</v>
      </c>
      <c r="AL41" s="102">
        <v>2677</v>
      </c>
      <c r="AM41" s="135">
        <v>73.099999999999994</v>
      </c>
    </row>
    <row r="42" spans="3:39" outlineLevel="1" x14ac:dyDescent="0.3">
      <c r="C42" s="203"/>
      <c r="D42" s="116" t="s">
        <v>12</v>
      </c>
      <c r="E42" s="116">
        <f>VLOOKUP(D42,'[3]Прайс 2022'!D$12:E$99,2,0)</f>
        <v>12</v>
      </c>
      <c r="F42" s="115">
        <f>VLOOKUP(D42,'[3]Прайс 2022'!D$12:G$99,3,0)</f>
        <v>650</v>
      </c>
      <c r="G42" s="114">
        <f>VLOOKUP(D42,'[3]Прайс 2022'!D$12:G$99,4,0)</f>
        <v>252.2</v>
      </c>
      <c r="H42" s="142">
        <f>H40*0.9</f>
        <v>3276.56685384</v>
      </c>
      <c r="I42" s="112">
        <f t="shared" si="26"/>
        <v>1005.9060241288799</v>
      </c>
      <c r="J42" s="112">
        <f>J40*0.9</f>
        <v>5191.354378818738</v>
      </c>
      <c r="K42" s="112">
        <f>K40*0.9</f>
        <v>151.02459742023083</v>
      </c>
      <c r="L42" s="140">
        <f>L40*0.9</f>
        <v>2210.3824013999997</v>
      </c>
      <c r="M42" s="139">
        <f t="shared" si="27"/>
        <v>11835.234255607851</v>
      </c>
      <c r="N42" s="141">
        <f>N40*0.9</f>
        <v>2397.8200303826197</v>
      </c>
      <c r="O42" s="112">
        <f>O40*0.9</f>
        <v>4212</v>
      </c>
      <c r="P42" s="109">
        <f>(P40*0.9)</f>
        <v>11457.940484745764</v>
      </c>
      <c r="Q42" s="109">
        <f t="shared" si="28"/>
        <v>458.31761938983061</v>
      </c>
      <c r="R42" s="140">
        <f>R40*0.9</f>
        <v>400.42804377092762</v>
      </c>
      <c r="S42" s="139">
        <f t="shared" si="29"/>
        <v>18926.506178289143</v>
      </c>
      <c r="T42" s="138">
        <f t="shared" si="30"/>
        <v>30761.740433896994</v>
      </c>
      <c r="U42" s="137">
        <f t="shared" si="31"/>
        <v>996.13221651366075</v>
      </c>
      <c r="V42" s="136">
        <f t="shared" si="32"/>
        <v>29.408878830880052</v>
      </c>
      <c r="W42" s="137">
        <f t="shared" si="33"/>
        <v>1035.5829973656871</v>
      </c>
      <c r="X42" s="136">
        <f t="shared" si="34"/>
        <v>30.573586903390151</v>
      </c>
      <c r="Y42" s="137">
        <f t="shared" si="35"/>
        <v>1084.8964734307197</v>
      </c>
      <c r="Z42" s="136">
        <f t="shared" si="36"/>
        <v>32.02947199402778</v>
      </c>
      <c r="AA42" s="103"/>
      <c r="AB42" s="102">
        <f t="shared" si="22"/>
        <v>996</v>
      </c>
      <c r="AC42" s="135">
        <f t="shared" si="23"/>
        <v>29.5</v>
      </c>
      <c r="AD42" s="102">
        <f t="shared" si="24"/>
        <v>1036</v>
      </c>
      <c r="AE42" s="135">
        <f t="shared" si="25"/>
        <v>30.6</v>
      </c>
      <c r="AF42" s="102">
        <f t="shared" si="37"/>
        <v>1085</v>
      </c>
      <c r="AG42" s="135">
        <f t="shared" si="38"/>
        <v>32.1</v>
      </c>
      <c r="AH42" s="102">
        <f t="shared" ref="AH42:AH55" si="43">AL42*0.8</f>
        <v>1137.6000000000001</v>
      </c>
      <c r="AI42" s="102">
        <f t="shared" ref="AI42:AI55" si="44">AM42*0.8</f>
        <v>31.04</v>
      </c>
      <c r="AJ42" s="101">
        <f t="shared" si="41"/>
        <v>1.0484792626728112</v>
      </c>
      <c r="AK42" s="101">
        <f t="shared" si="42"/>
        <v>0.96697819314641742</v>
      </c>
      <c r="AL42" s="102">
        <v>1422</v>
      </c>
      <c r="AM42" s="135">
        <v>38.799999999999997</v>
      </c>
    </row>
    <row r="43" spans="3:39" outlineLevel="1" x14ac:dyDescent="0.3">
      <c r="C43" s="203"/>
      <c r="D43" s="116" t="s">
        <v>451</v>
      </c>
      <c r="E43" s="116">
        <f>VLOOKUP(D43,'[3]Прайс 2022'!D$12:E$99,2,0)</f>
        <v>12</v>
      </c>
      <c r="F43" s="115">
        <f>VLOOKUP(D43,'[3]Прайс 2022'!D$12:G$99,3,0)</f>
        <v>650</v>
      </c>
      <c r="G43" s="114">
        <f>VLOOKUP(D43,'[3]Прайс 2022'!D$12:G$99,4,0)</f>
        <v>252.2</v>
      </c>
      <c r="H43" s="142">
        <f>2889.38876*1.05*1.2</f>
        <v>3640.6298376</v>
      </c>
      <c r="I43" s="112">
        <f t="shared" si="26"/>
        <v>1117.6733601431999</v>
      </c>
      <c r="J43" s="112">
        <v>77</v>
      </c>
      <c r="K43" s="112">
        <v>152.39021235785725</v>
      </c>
      <c r="L43" s="140">
        <v>2455.9804459999996</v>
      </c>
      <c r="M43" s="139">
        <f t="shared" si="27"/>
        <v>7443.673856101057</v>
      </c>
      <c r="N43" s="141">
        <v>3330.3055977536383</v>
      </c>
      <c r="O43" s="112">
        <v>3369.6</v>
      </c>
      <c r="P43" s="109">
        <v>4168.2540966101687</v>
      </c>
      <c r="Q43" s="109">
        <f t="shared" si="28"/>
        <v>166.73016386440676</v>
      </c>
      <c r="R43" s="140">
        <v>0</v>
      </c>
      <c r="S43" s="139">
        <f t="shared" si="29"/>
        <v>11034.889858228215</v>
      </c>
      <c r="T43" s="138">
        <f t="shared" si="30"/>
        <v>18478.56371432927</v>
      </c>
      <c r="U43" s="137">
        <f t="shared" si="31"/>
        <v>626.50921622183898</v>
      </c>
      <c r="V43" s="136">
        <f t="shared" si="32"/>
        <v>17.14652116432384</v>
      </c>
      <c r="W43" s="137">
        <f t="shared" si="33"/>
        <v>651.32146240884242</v>
      </c>
      <c r="X43" s="136">
        <f t="shared" si="34"/>
        <v>17.825591309445578</v>
      </c>
      <c r="Y43" s="137">
        <f t="shared" si="35"/>
        <v>682.33677014259695</v>
      </c>
      <c r="Z43" s="136">
        <f t="shared" si="36"/>
        <v>18.674428990847748</v>
      </c>
      <c r="AA43" s="103"/>
      <c r="AB43" s="102">
        <f t="shared" si="22"/>
        <v>627</v>
      </c>
      <c r="AC43" s="135">
        <f t="shared" si="23"/>
        <v>17.200000000000003</v>
      </c>
      <c r="AD43" s="102">
        <f t="shared" si="24"/>
        <v>651</v>
      </c>
      <c r="AE43" s="135">
        <f t="shared" si="25"/>
        <v>17.900000000000002</v>
      </c>
      <c r="AF43" s="102">
        <f t="shared" si="37"/>
        <v>682</v>
      </c>
      <c r="AG43" s="135">
        <f t="shared" si="38"/>
        <v>18.700000000000003</v>
      </c>
      <c r="AH43" s="102">
        <f t="shared" si="43"/>
        <v>739.2</v>
      </c>
      <c r="AI43" s="102">
        <f t="shared" si="44"/>
        <v>21.200000000000003</v>
      </c>
      <c r="AJ43" s="101">
        <f t="shared" si="41"/>
        <v>1.0838709677419356</v>
      </c>
      <c r="AK43" s="101">
        <f t="shared" si="42"/>
        <v>1.1336898395721926</v>
      </c>
      <c r="AL43" s="102">
        <v>924</v>
      </c>
      <c r="AM43" s="135">
        <v>26.5</v>
      </c>
    </row>
    <row r="44" spans="3:39" outlineLevel="1" x14ac:dyDescent="0.3">
      <c r="C44" s="203"/>
      <c r="D44" s="116" t="s">
        <v>95</v>
      </c>
      <c r="E44" s="116">
        <f>VLOOKUP(D44,'[3]Прайс 2022'!D$12:E$99,2,0)</f>
        <v>12</v>
      </c>
      <c r="F44" s="115">
        <f>VLOOKUP(D44,'[3]Прайс 2022'!D$12:G$99,3,0)</f>
        <v>650</v>
      </c>
      <c r="G44" s="114">
        <f>VLOOKUP(D44,'[3]Прайс 2022'!D$12:G$99,4,0)</f>
        <v>252.2</v>
      </c>
      <c r="H44" s="142">
        <f>2889.38876*1.05*1.2</f>
        <v>3640.6298376</v>
      </c>
      <c r="I44" s="112">
        <f t="shared" si="26"/>
        <v>1117.6733601431999</v>
      </c>
      <c r="J44" s="112">
        <v>77</v>
      </c>
      <c r="K44" s="112">
        <v>152.39021235785725</v>
      </c>
      <c r="L44" s="140">
        <v>2455.9804459999996</v>
      </c>
      <c r="M44" s="139">
        <f t="shared" si="27"/>
        <v>7443.673856101057</v>
      </c>
      <c r="N44" s="141">
        <v>3330.3055977536401</v>
      </c>
      <c r="O44" s="112">
        <v>3369.6</v>
      </c>
      <c r="P44" s="109">
        <v>4168.2540966101687</v>
      </c>
      <c r="Q44" s="109">
        <f t="shared" si="28"/>
        <v>166.73016386440676</v>
      </c>
      <c r="R44" s="140">
        <v>0</v>
      </c>
      <c r="S44" s="139">
        <f t="shared" si="29"/>
        <v>11034.889858228216</v>
      </c>
      <c r="T44" s="138">
        <f t="shared" si="30"/>
        <v>18478.563714329273</v>
      </c>
      <c r="U44" s="137">
        <f t="shared" si="31"/>
        <v>626.50921622183898</v>
      </c>
      <c r="V44" s="136">
        <f t="shared" si="32"/>
        <v>17.146521164323843</v>
      </c>
      <c r="W44" s="137">
        <f t="shared" si="33"/>
        <v>651.32146240884242</v>
      </c>
      <c r="X44" s="136">
        <f t="shared" si="34"/>
        <v>17.825591309445578</v>
      </c>
      <c r="Y44" s="137">
        <f t="shared" si="35"/>
        <v>682.33677014259695</v>
      </c>
      <c r="Z44" s="136">
        <f t="shared" si="36"/>
        <v>18.674428990847751</v>
      </c>
      <c r="AA44" s="103"/>
      <c r="AB44" s="102">
        <f t="shared" si="22"/>
        <v>627</v>
      </c>
      <c r="AC44" s="135">
        <f t="shared" si="23"/>
        <v>17.200000000000003</v>
      </c>
      <c r="AD44" s="102">
        <f t="shared" si="24"/>
        <v>651</v>
      </c>
      <c r="AE44" s="135">
        <f t="shared" si="25"/>
        <v>17.900000000000002</v>
      </c>
      <c r="AF44" s="102">
        <f t="shared" si="37"/>
        <v>682</v>
      </c>
      <c r="AG44" s="135">
        <f t="shared" si="38"/>
        <v>18.700000000000003</v>
      </c>
      <c r="AH44" s="102">
        <f t="shared" si="43"/>
        <v>682.40000000000009</v>
      </c>
      <c r="AI44" s="102">
        <f t="shared" si="44"/>
        <v>19.600000000000001</v>
      </c>
      <c r="AJ44" s="101">
        <f t="shared" si="41"/>
        <v>1.0005865102639298</v>
      </c>
      <c r="AK44" s="101">
        <f t="shared" si="42"/>
        <v>1.0481283422459893</v>
      </c>
      <c r="AL44" s="102">
        <v>853</v>
      </c>
      <c r="AM44" s="135">
        <v>24.5</v>
      </c>
    </row>
    <row r="45" spans="3:39" outlineLevel="1" x14ac:dyDescent="0.3">
      <c r="C45" s="203"/>
      <c r="D45" s="116" t="s">
        <v>96</v>
      </c>
      <c r="E45" s="116">
        <f>VLOOKUP(D45,'[3]Прайс 2022'!D$12:E$99,2,0)</f>
        <v>12</v>
      </c>
      <c r="F45" s="115">
        <f>VLOOKUP(D45,'[3]Прайс 2022'!D$12:G$99,3,0)</f>
        <v>650</v>
      </c>
      <c r="G45" s="114">
        <f>VLOOKUP(D45,'[3]Прайс 2022'!D$12:G$99,4,0)</f>
        <v>252.2</v>
      </c>
      <c r="H45" s="142">
        <f>H52</f>
        <v>3640.6298376</v>
      </c>
      <c r="I45" s="112">
        <f t="shared" si="26"/>
        <v>1117.6733601431999</v>
      </c>
      <c r="J45" s="112">
        <f>J52*1.2</f>
        <v>5306.9499383477196</v>
      </c>
      <c r="K45" s="112">
        <f>K52*1.2</f>
        <v>182.86825482942871</v>
      </c>
      <c r="L45" s="140">
        <f>L52*1.2</f>
        <v>2947.1765351999993</v>
      </c>
      <c r="M45" s="139">
        <f t="shared" si="27"/>
        <v>13195.297926120347</v>
      </c>
      <c r="N45" s="141">
        <f>N52*1.2</f>
        <v>2477.7473647287084</v>
      </c>
      <c r="O45" s="112">
        <f>O52*1.2</f>
        <v>3046.1184000000003</v>
      </c>
      <c r="P45" s="109">
        <f>(P52*1.2)</f>
        <v>6702.5525873491506</v>
      </c>
      <c r="Q45" s="109">
        <f t="shared" si="28"/>
        <v>268.10210349396601</v>
      </c>
      <c r="R45" s="140">
        <f>R52*1.2</f>
        <v>0</v>
      </c>
      <c r="S45" s="139">
        <f t="shared" si="29"/>
        <v>12494.520455571826</v>
      </c>
      <c r="T45" s="138">
        <f t="shared" si="30"/>
        <v>25689.818381692174</v>
      </c>
      <c r="U45" s="137">
        <f t="shared" si="31"/>
        <v>1110.6042421151292</v>
      </c>
      <c r="V45" s="136">
        <f t="shared" si="32"/>
        <v>19.414562554042377</v>
      </c>
      <c r="W45" s="137">
        <f t="shared" si="33"/>
        <v>1154.5885685355304</v>
      </c>
      <c r="X45" s="136">
        <f t="shared" si="34"/>
        <v>20.183456120539105</v>
      </c>
      <c r="Y45" s="137">
        <f t="shared" si="35"/>
        <v>1209.5689765610318</v>
      </c>
      <c r="Z45" s="136">
        <f t="shared" si="36"/>
        <v>21.144573078660017</v>
      </c>
      <c r="AA45" s="103"/>
      <c r="AB45" s="102">
        <f t="shared" si="22"/>
        <v>1111</v>
      </c>
      <c r="AC45" s="135">
        <f t="shared" si="23"/>
        <v>19.5</v>
      </c>
      <c r="AD45" s="102">
        <f t="shared" si="24"/>
        <v>1155</v>
      </c>
      <c r="AE45" s="135">
        <f t="shared" si="25"/>
        <v>20.200000000000003</v>
      </c>
      <c r="AF45" s="102">
        <f t="shared" si="37"/>
        <v>1210</v>
      </c>
      <c r="AG45" s="135">
        <f t="shared" si="38"/>
        <v>21.200000000000003</v>
      </c>
      <c r="AH45" s="102">
        <f t="shared" si="43"/>
        <v>1461.6000000000001</v>
      </c>
      <c r="AI45" s="102">
        <f t="shared" si="44"/>
        <v>22.72</v>
      </c>
      <c r="AJ45" s="101">
        <f t="shared" si="41"/>
        <v>1.2079338842975207</v>
      </c>
      <c r="AK45" s="101">
        <f t="shared" si="42"/>
        <v>1.0716981132075469</v>
      </c>
      <c r="AL45" s="102">
        <v>1827</v>
      </c>
      <c r="AM45" s="135">
        <v>28.4</v>
      </c>
    </row>
    <row r="46" spans="3:39" outlineLevel="1" x14ac:dyDescent="0.3">
      <c r="C46" s="203"/>
      <c r="D46" s="116" t="s">
        <v>450</v>
      </c>
      <c r="E46" s="116">
        <f>VLOOKUP(D46,'[3]Прайс 2022'!D$12:E$99,2,0)</f>
        <v>12</v>
      </c>
      <c r="F46" s="115">
        <f>VLOOKUP(D46,'[3]Прайс 2022'!D$12:G$99,3,0)</f>
        <v>650</v>
      </c>
      <c r="G46" s="114">
        <f>VLOOKUP(D46,'[3]Прайс 2022'!D$12:G$99,4,0)</f>
        <v>252.2</v>
      </c>
      <c r="H46" s="142">
        <f>H43</f>
        <v>3640.6298376</v>
      </c>
      <c r="I46" s="112">
        <f t="shared" si="26"/>
        <v>1117.6733601431999</v>
      </c>
      <c r="J46" s="112">
        <f>J43</f>
        <v>77</v>
      </c>
      <c r="K46" s="112">
        <f>K43</f>
        <v>152.39021235785725</v>
      </c>
      <c r="L46" s="140">
        <f>L43</f>
        <v>2455.9804459999996</v>
      </c>
      <c r="M46" s="139">
        <f t="shared" si="27"/>
        <v>7443.673856101057</v>
      </c>
      <c r="N46" s="141">
        <f>N43</f>
        <v>3330.3055977536383</v>
      </c>
      <c r="O46" s="112">
        <f>O43</f>
        <v>3369.6</v>
      </c>
      <c r="P46" s="109">
        <f>(P43)</f>
        <v>4168.2540966101687</v>
      </c>
      <c r="Q46" s="109">
        <f t="shared" si="28"/>
        <v>166.73016386440676</v>
      </c>
      <c r="R46" s="140">
        <f>R43</f>
        <v>0</v>
      </c>
      <c r="S46" s="139">
        <f t="shared" si="29"/>
        <v>11034.889858228215</v>
      </c>
      <c r="T46" s="138">
        <f t="shared" si="30"/>
        <v>18478.56371432927</v>
      </c>
      <c r="U46" s="137">
        <f t="shared" si="31"/>
        <v>626.50921622183898</v>
      </c>
      <c r="V46" s="136">
        <f t="shared" si="32"/>
        <v>17.14652116432384</v>
      </c>
      <c r="W46" s="137">
        <f t="shared" si="33"/>
        <v>651.32146240884242</v>
      </c>
      <c r="X46" s="136">
        <f t="shared" si="34"/>
        <v>17.825591309445578</v>
      </c>
      <c r="Y46" s="137">
        <f t="shared" si="35"/>
        <v>682.33677014259695</v>
      </c>
      <c r="Z46" s="136">
        <f t="shared" si="36"/>
        <v>18.674428990847748</v>
      </c>
      <c r="AA46" s="103"/>
      <c r="AB46" s="102">
        <f t="shared" si="22"/>
        <v>627</v>
      </c>
      <c r="AC46" s="135">
        <f t="shared" si="23"/>
        <v>17.200000000000003</v>
      </c>
      <c r="AD46" s="102">
        <f t="shared" si="24"/>
        <v>651</v>
      </c>
      <c r="AE46" s="135">
        <f t="shared" si="25"/>
        <v>17.900000000000002</v>
      </c>
      <c r="AF46" s="102">
        <f t="shared" si="37"/>
        <v>682</v>
      </c>
      <c r="AG46" s="135">
        <f t="shared" si="38"/>
        <v>18.700000000000003</v>
      </c>
      <c r="AH46" s="102">
        <f t="shared" si="43"/>
        <v>739.2</v>
      </c>
      <c r="AI46" s="102">
        <f t="shared" si="44"/>
        <v>21.200000000000003</v>
      </c>
      <c r="AJ46" s="101">
        <f t="shared" si="41"/>
        <v>1.0838709677419356</v>
      </c>
      <c r="AK46" s="101">
        <f t="shared" si="42"/>
        <v>1.1336898395721926</v>
      </c>
      <c r="AL46" s="102">
        <v>924</v>
      </c>
      <c r="AM46" s="135">
        <v>26.5</v>
      </c>
    </row>
    <row r="47" spans="3:39" outlineLevel="1" x14ac:dyDescent="0.3">
      <c r="C47" s="203"/>
      <c r="D47" s="116" t="s">
        <v>449</v>
      </c>
      <c r="E47" s="116">
        <f>VLOOKUP(D47,'[3]Прайс 2022'!D$12:E$99,2,0)</f>
        <v>12</v>
      </c>
      <c r="F47" s="115">
        <f>VLOOKUP(D47,'[3]Прайс 2022'!D$12:G$99,3,0)</f>
        <v>650</v>
      </c>
      <c r="G47" s="114">
        <f>VLOOKUP(D47,'[3]Прайс 2022'!D$12:G$99,4,0)</f>
        <v>252.2</v>
      </c>
      <c r="H47" s="142">
        <f>H46*1.1</f>
        <v>4004.6928213600004</v>
      </c>
      <c r="I47" s="112">
        <f t="shared" si="26"/>
        <v>1229.4406961575201</v>
      </c>
      <c r="J47" s="112">
        <f>J46*1.1</f>
        <v>84.7</v>
      </c>
      <c r="K47" s="112">
        <f>K46*1.1</f>
        <v>167.62923359364299</v>
      </c>
      <c r="L47" s="140">
        <f>L46*1.1</f>
        <v>2701.5784905999999</v>
      </c>
      <c r="M47" s="139">
        <f t="shared" si="27"/>
        <v>8188.0412417111638</v>
      </c>
      <c r="N47" s="141">
        <f>N46*1.1</f>
        <v>3663.3361575290023</v>
      </c>
      <c r="O47" s="112">
        <f>O46*1.1</f>
        <v>3706.5600000000004</v>
      </c>
      <c r="P47" s="109">
        <f>(P46*1.1)</f>
        <v>4585.0795062711859</v>
      </c>
      <c r="Q47" s="109">
        <f t="shared" si="28"/>
        <v>183.40318025084744</v>
      </c>
      <c r="R47" s="140">
        <f>R46*1.1</f>
        <v>0</v>
      </c>
      <c r="S47" s="139">
        <f t="shared" si="29"/>
        <v>12138.378844051036</v>
      </c>
      <c r="T47" s="138">
        <f t="shared" si="30"/>
        <v>20326.420085762198</v>
      </c>
      <c r="U47" s="137">
        <f t="shared" si="31"/>
        <v>689.16013784402287</v>
      </c>
      <c r="V47" s="136">
        <f t="shared" si="32"/>
        <v>18.861173280756226</v>
      </c>
      <c r="W47" s="137">
        <f t="shared" si="33"/>
        <v>716.4536086497269</v>
      </c>
      <c r="X47" s="136">
        <f t="shared" si="34"/>
        <v>19.608150440390137</v>
      </c>
      <c r="Y47" s="137">
        <f t="shared" si="35"/>
        <v>750.57044715685663</v>
      </c>
      <c r="Z47" s="136">
        <f t="shared" si="36"/>
        <v>20.541871889932523</v>
      </c>
      <c r="AA47" s="103"/>
      <c r="AB47" s="102">
        <f t="shared" si="22"/>
        <v>689</v>
      </c>
      <c r="AC47" s="135">
        <f t="shared" si="23"/>
        <v>18.900000000000002</v>
      </c>
      <c r="AD47" s="102">
        <f t="shared" si="24"/>
        <v>716</v>
      </c>
      <c r="AE47" s="135">
        <f t="shared" si="25"/>
        <v>19.700000000000003</v>
      </c>
      <c r="AF47" s="102">
        <f t="shared" si="37"/>
        <v>751</v>
      </c>
      <c r="AG47" s="135">
        <f t="shared" si="38"/>
        <v>20.6</v>
      </c>
      <c r="AH47" s="102">
        <f t="shared" si="43"/>
        <v>744.80000000000007</v>
      </c>
      <c r="AI47" s="102">
        <f t="shared" si="44"/>
        <v>21.44</v>
      </c>
      <c r="AJ47" s="101">
        <f t="shared" si="41"/>
        <v>0.99174434087882835</v>
      </c>
      <c r="AK47" s="101">
        <f t="shared" si="42"/>
        <v>1.0407766990291263</v>
      </c>
      <c r="AL47" s="102">
        <v>931</v>
      </c>
      <c r="AM47" s="135">
        <v>26.8</v>
      </c>
    </row>
    <row r="48" spans="3:39" outlineLevel="1" x14ac:dyDescent="0.3">
      <c r="C48" s="203"/>
      <c r="D48" s="116" t="s">
        <v>448</v>
      </c>
      <c r="E48" s="116">
        <f>VLOOKUP(D48,'[3]Прайс 2022'!D$12:E$99,2,0)</f>
        <v>12</v>
      </c>
      <c r="F48" s="115">
        <f>VLOOKUP(D48,'[3]Прайс 2022'!D$12:G$99,3,0)</f>
        <v>650</v>
      </c>
      <c r="G48" s="114">
        <f>VLOOKUP(D48,'[3]Прайс 2022'!D$12:G$99,4,0)</f>
        <v>252.2</v>
      </c>
      <c r="H48" s="142">
        <f>H52</f>
        <v>3640.6298376</v>
      </c>
      <c r="I48" s="112">
        <f t="shared" si="26"/>
        <v>1117.6733601431999</v>
      </c>
      <c r="J48" s="112">
        <f>J52</f>
        <v>4422.458281956433</v>
      </c>
      <c r="K48" s="112">
        <f>K52</f>
        <v>152.39021235785725</v>
      </c>
      <c r="L48" s="140">
        <f>L52</f>
        <v>2455.9804459999996</v>
      </c>
      <c r="M48" s="139">
        <f t="shared" si="27"/>
        <v>11789.13213805749</v>
      </c>
      <c r="N48" s="141">
        <f>N52</f>
        <v>2064.789470607257</v>
      </c>
      <c r="O48" s="112">
        <f>O52</f>
        <v>2538.4320000000002</v>
      </c>
      <c r="P48" s="109">
        <f>(P52)</f>
        <v>5585.460489457626</v>
      </c>
      <c r="Q48" s="109">
        <f t="shared" si="28"/>
        <v>223.41841957830505</v>
      </c>
      <c r="R48" s="140">
        <f>R52</f>
        <v>0</v>
      </c>
      <c r="S48" s="139">
        <f t="shared" si="29"/>
        <v>10412.100379643189</v>
      </c>
      <c r="T48" s="138">
        <f t="shared" si="30"/>
        <v>22201.232517700679</v>
      </c>
      <c r="U48" s="137">
        <f t="shared" si="31"/>
        <v>992.25195495317212</v>
      </c>
      <c r="V48" s="136">
        <f t="shared" si="32"/>
        <v>16.178802128368648</v>
      </c>
      <c r="W48" s="137">
        <f t="shared" si="33"/>
        <v>1031.5490620800304</v>
      </c>
      <c r="X48" s="136">
        <f t="shared" si="34"/>
        <v>16.81954676711592</v>
      </c>
      <c r="Y48" s="137">
        <f t="shared" si="35"/>
        <v>1080.6704459886032</v>
      </c>
      <c r="Z48" s="136">
        <f t="shared" si="36"/>
        <v>17.620477565550011</v>
      </c>
      <c r="AA48" s="103"/>
      <c r="AB48" s="102">
        <f t="shared" si="22"/>
        <v>992</v>
      </c>
      <c r="AC48" s="135">
        <f t="shared" si="23"/>
        <v>16.200000000000003</v>
      </c>
      <c r="AD48" s="102">
        <f t="shared" si="24"/>
        <v>1032</v>
      </c>
      <c r="AE48" s="135">
        <f t="shared" si="25"/>
        <v>16.900000000000002</v>
      </c>
      <c r="AF48" s="102">
        <f t="shared" si="37"/>
        <v>1081</v>
      </c>
      <c r="AG48" s="135">
        <f t="shared" si="38"/>
        <v>17.700000000000003</v>
      </c>
      <c r="AH48" s="102">
        <f t="shared" si="43"/>
        <v>1369.6000000000001</v>
      </c>
      <c r="AI48" s="102">
        <f t="shared" si="44"/>
        <v>21.28</v>
      </c>
      <c r="AJ48" s="101">
        <f t="shared" si="41"/>
        <v>1.2669750231267347</v>
      </c>
      <c r="AK48" s="101">
        <f t="shared" si="42"/>
        <v>1.2022598870056496</v>
      </c>
      <c r="AL48" s="102">
        <v>1712</v>
      </c>
      <c r="AM48" s="135">
        <v>26.6</v>
      </c>
    </row>
    <row r="49" spans="1:39" outlineLevel="1" x14ac:dyDescent="0.3">
      <c r="C49" s="203"/>
      <c r="D49" s="116" t="s">
        <v>447</v>
      </c>
      <c r="E49" s="116">
        <f>VLOOKUP(D49,'[3]Прайс 2022'!D$12:E$99,2,0)</f>
        <v>12</v>
      </c>
      <c r="F49" s="115">
        <f>VLOOKUP(D49,'[3]Прайс 2022'!D$12:G$99,3,0)</f>
        <v>650</v>
      </c>
      <c r="G49" s="114">
        <f>VLOOKUP(D49,'[3]Прайс 2022'!D$12:G$99,4,0)</f>
        <v>252.2</v>
      </c>
      <c r="H49" s="142">
        <f>2889.38876*1.05*1.2</f>
        <v>3640.6298376</v>
      </c>
      <c r="I49" s="112">
        <f t="shared" si="26"/>
        <v>1117.6733601431999</v>
      </c>
      <c r="J49" s="112">
        <v>4422.458281956433</v>
      </c>
      <c r="K49" s="112">
        <v>152.39021235785725</v>
      </c>
      <c r="L49" s="140">
        <v>2455.9804459999996</v>
      </c>
      <c r="M49" s="139">
        <f t="shared" si="27"/>
        <v>11789.13213805749</v>
      </c>
      <c r="N49" s="141">
        <v>6660.6111955072802</v>
      </c>
      <c r="O49" s="112">
        <v>3744</v>
      </c>
      <c r="P49" s="109">
        <v>8336.5081932203411</v>
      </c>
      <c r="Q49" s="109">
        <f t="shared" si="28"/>
        <v>333.46032772881364</v>
      </c>
      <c r="R49" s="140">
        <v>0</v>
      </c>
      <c r="S49" s="139">
        <f t="shared" si="29"/>
        <v>19074.579716456439</v>
      </c>
      <c r="T49" s="138">
        <f t="shared" si="30"/>
        <v>30863.711854513931</v>
      </c>
      <c r="U49" s="137">
        <f t="shared" si="31"/>
        <v>992.25195495317212</v>
      </c>
      <c r="V49" s="136">
        <f t="shared" si="32"/>
        <v>29.638962328647697</v>
      </c>
      <c r="W49" s="137">
        <f t="shared" si="33"/>
        <v>1031.5490620800304</v>
      </c>
      <c r="X49" s="136">
        <f t="shared" si="34"/>
        <v>30.81278261889117</v>
      </c>
      <c r="Y49" s="137">
        <f t="shared" si="35"/>
        <v>1080.6704459886032</v>
      </c>
      <c r="Z49" s="136">
        <f t="shared" si="36"/>
        <v>32.280057981695514</v>
      </c>
      <c r="AA49" s="103"/>
      <c r="AB49" s="102">
        <f t="shared" si="22"/>
        <v>992</v>
      </c>
      <c r="AC49" s="135">
        <f t="shared" si="23"/>
        <v>29.700000000000003</v>
      </c>
      <c r="AD49" s="102">
        <f t="shared" si="24"/>
        <v>1032</v>
      </c>
      <c r="AE49" s="135">
        <f t="shared" si="25"/>
        <v>30.900000000000002</v>
      </c>
      <c r="AF49" s="102">
        <f t="shared" si="37"/>
        <v>1081</v>
      </c>
      <c r="AG49" s="135">
        <f t="shared" si="38"/>
        <v>32.300000000000004</v>
      </c>
      <c r="AH49" s="102">
        <f t="shared" si="43"/>
        <v>1179.2</v>
      </c>
      <c r="AI49" s="102">
        <f t="shared" si="44"/>
        <v>34.4</v>
      </c>
      <c r="AJ49" s="101">
        <f t="shared" si="41"/>
        <v>1.0908418131359852</v>
      </c>
      <c r="AK49" s="101">
        <f t="shared" si="42"/>
        <v>1.0650154798761609</v>
      </c>
      <c r="AL49" s="102">
        <v>1474</v>
      </c>
      <c r="AM49" s="135">
        <v>43</v>
      </c>
    </row>
    <row r="50" spans="1:39" outlineLevel="1" x14ac:dyDescent="0.3">
      <c r="C50" s="203"/>
      <c r="D50" s="116" t="s">
        <v>97</v>
      </c>
      <c r="E50" s="116">
        <f>VLOOKUP(D50,'[3]Прайс 2022'!D$12:E$99,2,0)</f>
        <v>12</v>
      </c>
      <c r="F50" s="115">
        <f>VLOOKUP(D50,'[3]Прайс 2022'!D$12:G$99,3,0)</f>
        <v>650</v>
      </c>
      <c r="G50" s="114">
        <f>VLOOKUP(D50,'[3]Прайс 2022'!D$12:G$99,4,0)</f>
        <v>252.2</v>
      </c>
      <c r="H50" s="142">
        <f>H49</f>
        <v>3640.6298376</v>
      </c>
      <c r="I50" s="112">
        <f t="shared" si="26"/>
        <v>1117.6733601431999</v>
      </c>
      <c r="J50" s="112">
        <v>15230.061831401565</v>
      </c>
      <c r="K50" s="112">
        <v>152.39021235785725</v>
      </c>
      <c r="L50" s="140">
        <v>2455.9804459999996</v>
      </c>
      <c r="M50" s="139">
        <f t="shared" si="27"/>
        <v>22596.735687502616</v>
      </c>
      <c r="N50" s="141">
        <v>13321.22239101456</v>
      </c>
      <c r="O50" s="112">
        <v>7488</v>
      </c>
      <c r="P50" s="109">
        <v>8336.5081932203411</v>
      </c>
      <c r="Q50" s="109">
        <f t="shared" si="28"/>
        <v>333.46032772881364</v>
      </c>
      <c r="R50" s="140">
        <v>6412.6986101694929</v>
      </c>
      <c r="S50" s="139">
        <f t="shared" si="29"/>
        <v>35891.889522133206</v>
      </c>
      <c r="T50" s="138">
        <f t="shared" si="30"/>
        <v>58488.625209635822</v>
      </c>
      <c r="U50" s="137">
        <f t="shared" si="31"/>
        <v>1901.8919203648036</v>
      </c>
      <c r="V50" s="136">
        <f t="shared" si="32"/>
        <v>55.770474488237745</v>
      </c>
      <c r="W50" s="137">
        <f t="shared" si="33"/>
        <v>1977.2143726564789</v>
      </c>
      <c r="X50" s="136">
        <f t="shared" si="34"/>
        <v>57.979206151138264</v>
      </c>
      <c r="Y50" s="137">
        <f t="shared" si="35"/>
        <v>2071.3674380210732</v>
      </c>
      <c r="Z50" s="136">
        <f t="shared" si="36"/>
        <v>60.740120729763888</v>
      </c>
      <c r="AA50" s="103"/>
      <c r="AB50" s="102">
        <f t="shared" si="22"/>
        <v>1902</v>
      </c>
      <c r="AC50" s="135">
        <f t="shared" si="23"/>
        <v>55.800000000000004</v>
      </c>
      <c r="AD50" s="102">
        <f t="shared" si="24"/>
        <v>1977</v>
      </c>
      <c r="AE50" s="135">
        <f t="shared" si="25"/>
        <v>58</v>
      </c>
      <c r="AF50" s="102">
        <f t="shared" si="37"/>
        <v>2071</v>
      </c>
      <c r="AG50" s="135">
        <f t="shared" si="38"/>
        <v>60.800000000000004</v>
      </c>
      <c r="AH50" s="102">
        <f t="shared" si="43"/>
        <v>2472.8000000000002</v>
      </c>
      <c r="AI50" s="102">
        <f t="shared" si="44"/>
        <v>72.160000000000011</v>
      </c>
      <c r="AJ50" s="101">
        <f t="shared" si="41"/>
        <v>1.1940125543215838</v>
      </c>
      <c r="AK50" s="101">
        <f t="shared" si="42"/>
        <v>1.1868421052631579</v>
      </c>
      <c r="AL50" s="102">
        <v>3091</v>
      </c>
      <c r="AM50" s="135">
        <v>90.2</v>
      </c>
    </row>
    <row r="51" spans="1:39" outlineLevel="1" x14ac:dyDescent="0.3">
      <c r="C51" s="203"/>
      <c r="D51" s="116" t="s">
        <v>100</v>
      </c>
      <c r="E51" s="116">
        <f>VLOOKUP(D51,'[3]Прайс 2022'!D$12:E$99,2,0)</f>
        <v>12</v>
      </c>
      <c r="F51" s="115">
        <f>VLOOKUP(D51,'[3]Прайс 2022'!D$12:G$99,3,0)</f>
        <v>650</v>
      </c>
      <c r="G51" s="114">
        <f>VLOOKUP(D51,'[3]Прайс 2022'!D$12:G$99,4,0)</f>
        <v>252.2</v>
      </c>
      <c r="H51" s="142">
        <f>2889.38876*1.05*1.2</f>
        <v>3640.6298376</v>
      </c>
      <c r="I51" s="112">
        <f t="shared" si="26"/>
        <v>1117.6733601431999</v>
      </c>
      <c r="J51" s="112">
        <v>4422.458281956433</v>
      </c>
      <c r="K51" s="112">
        <v>152.39021235785725</v>
      </c>
      <c r="L51" s="140">
        <v>2455.9804459999996</v>
      </c>
      <c r="M51" s="139">
        <f t="shared" si="27"/>
        <v>11789.13213805749</v>
      </c>
      <c r="N51" s="141">
        <v>2064.789470607257</v>
      </c>
      <c r="O51" s="112">
        <v>2538.4320000000002</v>
      </c>
      <c r="P51" s="109">
        <v>5585.460489457626</v>
      </c>
      <c r="Q51" s="109">
        <f t="shared" si="28"/>
        <v>223.41841957830505</v>
      </c>
      <c r="R51" s="140">
        <v>0</v>
      </c>
      <c r="S51" s="139">
        <f t="shared" si="29"/>
        <v>10412.100379643189</v>
      </c>
      <c r="T51" s="138">
        <f t="shared" si="30"/>
        <v>22201.232517700679</v>
      </c>
      <c r="U51" s="137">
        <f t="shared" si="31"/>
        <v>992.25195495317212</v>
      </c>
      <c r="V51" s="136">
        <f t="shared" si="32"/>
        <v>16.178802128368648</v>
      </c>
      <c r="W51" s="137">
        <f t="shared" si="33"/>
        <v>1031.5490620800304</v>
      </c>
      <c r="X51" s="136">
        <f t="shared" si="34"/>
        <v>16.81954676711592</v>
      </c>
      <c r="Y51" s="137">
        <f t="shared" si="35"/>
        <v>1080.6704459886032</v>
      </c>
      <c r="Z51" s="136">
        <f t="shared" si="36"/>
        <v>17.620477565550011</v>
      </c>
      <c r="AA51" s="103"/>
      <c r="AB51" s="102">
        <f t="shared" si="22"/>
        <v>992</v>
      </c>
      <c r="AC51" s="135">
        <f t="shared" si="23"/>
        <v>16.200000000000003</v>
      </c>
      <c r="AD51" s="102">
        <f t="shared" si="24"/>
        <v>1032</v>
      </c>
      <c r="AE51" s="135">
        <f t="shared" si="25"/>
        <v>16.900000000000002</v>
      </c>
      <c r="AF51" s="102">
        <f t="shared" si="37"/>
        <v>1081</v>
      </c>
      <c r="AG51" s="135">
        <f t="shared" si="38"/>
        <v>17.700000000000003</v>
      </c>
      <c r="AH51" s="102">
        <f t="shared" si="43"/>
        <v>1464.8000000000002</v>
      </c>
      <c r="AI51" s="102">
        <f t="shared" si="44"/>
        <v>22.8</v>
      </c>
      <c r="AJ51" s="101">
        <f t="shared" si="41"/>
        <v>1.3550416281221094</v>
      </c>
      <c r="AK51" s="101">
        <f t="shared" si="42"/>
        <v>1.2881355932203389</v>
      </c>
      <c r="AL51" s="102">
        <v>1831</v>
      </c>
      <c r="AM51" s="135">
        <v>28.5</v>
      </c>
    </row>
    <row r="52" spans="1:39" outlineLevel="1" x14ac:dyDescent="0.3">
      <c r="C52" s="203"/>
      <c r="D52" s="116" t="s">
        <v>101</v>
      </c>
      <c r="E52" s="116">
        <f>VLOOKUP(D52,'[3]Прайс 2022'!D$12:E$99,2,0)</f>
        <v>12</v>
      </c>
      <c r="F52" s="115">
        <f>VLOOKUP(D52,'[3]Прайс 2022'!D$12:G$99,3,0)</f>
        <v>650</v>
      </c>
      <c r="G52" s="114">
        <f>VLOOKUP(D52,'[3]Прайс 2022'!D$12:G$99,4,0)</f>
        <v>252.2</v>
      </c>
      <c r="H52" s="142">
        <f>2889.38876*1.05*1.2</f>
        <v>3640.6298376</v>
      </c>
      <c r="I52" s="112">
        <f t="shared" si="26"/>
        <v>1117.6733601431999</v>
      </c>
      <c r="J52" s="112">
        <v>4422.458281956433</v>
      </c>
      <c r="K52" s="112">
        <v>152.39021235785725</v>
      </c>
      <c r="L52" s="140">
        <v>2455.9804459999996</v>
      </c>
      <c r="M52" s="139">
        <f t="shared" si="27"/>
        <v>11789.13213805749</v>
      </c>
      <c r="N52" s="141">
        <v>2064.789470607257</v>
      </c>
      <c r="O52" s="112">
        <v>2538.4320000000002</v>
      </c>
      <c r="P52" s="109">
        <v>5585.460489457626</v>
      </c>
      <c r="Q52" s="109">
        <f t="shared" si="28"/>
        <v>223.41841957830505</v>
      </c>
      <c r="R52" s="140">
        <v>0</v>
      </c>
      <c r="S52" s="139">
        <f t="shared" si="29"/>
        <v>10412.100379643189</v>
      </c>
      <c r="T52" s="138">
        <f t="shared" si="30"/>
        <v>22201.232517700679</v>
      </c>
      <c r="U52" s="137">
        <f t="shared" si="31"/>
        <v>992.25195495317212</v>
      </c>
      <c r="V52" s="136">
        <f t="shared" si="32"/>
        <v>16.178802128368648</v>
      </c>
      <c r="W52" s="137">
        <f t="shared" si="33"/>
        <v>1031.5490620800304</v>
      </c>
      <c r="X52" s="136">
        <f t="shared" si="34"/>
        <v>16.81954676711592</v>
      </c>
      <c r="Y52" s="137">
        <f t="shared" si="35"/>
        <v>1080.6704459886032</v>
      </c>
      <c r="Z52" s="136">
        <f t="shared" si="36"/>
        <v>17.620477565550011</v>
      </c>
      <c r="AA52" s="103"/>
      <c r="AB52" s="102">
        <f t="shared" si="22"/>
        <v>992</v>
      </c>
      <c r="AC52" s="135">
        <f t="shared" si="23"/>
        <v>16.200000000000003</v>
      </c>
      <c r="AD52" s="102">
        <f t="shared" si="24"/>
        <v>1032</v>
      </c>
      <c r="AE52" s="135">
        <f t="shared" si="25"/>
        <v>16.900000000000002</v>
      </c>
      <c r="AF52" s="102">
        <f t="shared" si="37"/>
        <v>1081</v>
      </c>
      <c r="AG52" s="135">
        <f t="shared" si="38"/>
        <v>17.700000000000003</v>
      </c>
      <c r="AH52" s="102">
        <f t="shared" si="43"/>
        <v>1236.8000000000002</v>
      </c>
      <c r="AI52" s="102">
        <f t="shared" si="44"/>
        <v>19.28</v>
      </c>
      <c r="AJ52" s="101">
        <f t="shared" si="41"/>
        <v>1.1441258094357079</v>
      </c>
      <c r="AK52" s="101">
        <f t="shared" si="42"/>
        <v>1.0892655367231638</v>
      </c>
      <c r="AL52" s="102">
        <v>1546</v>
      </c>
      <c r="AM52" s="135">
        <v>24.1</v>
      </c>
    </row>
    <row r="53" spans="1:39" outlineLevel="1" x14ac:dyDescent="0.3">
      <c r="C53" s="203"/>
      <c r="D53" s="116" t="s">
        <v>107</v>
      </c>
      <c r="E53" s="116">
        <f>VLOOKUP(D53,'[3]Прайс 2022'!D$12:E$99,2,0)</f>
        <v>12</v>
      </c>
      <c r="F53" s="115">
        <f>VLOOKUP(D53,'[3]Прайс 2022'!D$12:G$99,3,0)</f>
        <v>650</v>
      </c>
      <c r="G53" s="114">
        <f>VLOOKUP(D53,'[3]Прайс 2022'!D$12:G$99,4,0)</f>
        <v>252.2</v>
      </c>
      <c r="H53" s="142">
        <f>2889.38876*1.05*1.2</f>
        <v>3640.6298376</v>
      </c>
      <c r="I53" s="112">
        <f t="shared" si="26"/>
        <v>1117.6733601431999</v>
      </c>
      <c r="J53" s="112">
        <v>5768.1715320208195</v>
      </c>
      <c r="K53" s="112">
        <v>152.39021235785725</v>
      </c>
      <c r="L53" s="140">
        <v>2455.9804459999996</v>
      </c>
      <c r="M53" s="139">
        <f t="shared" si="27"/>
        <v>13134.845388121877</v>
      </c>
      <c r="N53" s="141">
        <v>2131.3955825623298</v>
      </c>
      <c r="O53" s="112">
        <v>3744</v>
      </c>
      <c r="P53" s="109">
        <v>4910.2033258067786</v>
      </c>
      <c r="Q53" s="109">
        <f t="shared" si="28"/>
        <v>196.40813303227114</v>
      </c>
      <c r="R53" s="140">
        <v>0</v>
      </c>
      <c r="S53" s="139">
        <f t="shared" si="29"/>
        <v>10982.007041401381</v>
      </c>
      <c r="T53" s="138">
        <f t="shared" si="30"/>
        <v>24116.852429523256</v>
      </c>
      <c r="U53" s="137">
        <f t="shared" si="31"/>
        <v>1105.516153500258</v>
      </c>
      <c r="V53" s="136">
        <f t="shared" si="32"/>
        <v>17.064349402792917</v>
      </c>
      <c r="W53" s="137">
        <f t="shared" si="33"/>
        <v>1149.2989714606642</v>
      </c>
      <c r="X53" s="136">
        <f t="shared" si="34"/>
        <v>17.740165220725306</v>
      </c>
      <c r="Y53" s="137">
        <f t="shared" si="35"/>
        <v>1204.0274939111721</v>
      </c>
      <c r="Z53" s="136">
        <f t="shared" si="36"/>
        <v>18.584934993140799</v>
      </c>
      <c r="AA53" s="103"/>
      <c r="AB53" s="102">
        <f t="shared" si="22"/>
        <v>1106</v>
      </c>
      <c r="AC53" s="135">
        <f t="shared" si="23"/>
        <v>17.100000000000001</v>
      </c>
      <c r="AD53" s="102">
        <f t="shared" si="24"/>
        <v>1149</v>
      </c>
      <c r="AE53" s="135">
        <f t="shared" si="25"/>
        <v>17.8</v>
      </c>
      <c r="AF53" s="102">
        <f t="shared" si="37"/>
        <v>1204</v>
      </c>
      <c r="AG53" s="135">
        <f t="shared" si="38"/>
        <v>18.600000000000001</v>
      </c>
      <c r="AH53" s="102">
        <f t="shared" si="43"/>
        <v>1133.6000000000001</v>
      </c>
      <c r="AI53" s="102">
        <f t="shared" si="44"/>
        <v>16.96</v>
      </c>
      <c r="AJ53" s="101">
        <f t="shared" si="41"/>
        <v>0.94152823920265794</v>
      </c>
      <c r="AK53" s="101">
        <f t="shared" si="42"/>
        <v>0.91182795698924723</v>
      </c>
      <c r="AL53" s="102">
        <v>1417</v>
      </c>
      <c r="AM53" s="135">
        <v>21.2</v>
      </c>
    </row>
    <row r="54" spans="1:39" outlineLevel="1" x14ac:dyDescent="0.3">
      <c r="C54" s="203"/>
      <c r="D54" s="116" t="s">
        <v>31</v>
      </c>
      <c r="E54" s="116">
        <f>VLOOKUP(D54,'[3]Прайс 2022'!D$12:E$99,2,0)</f>
        <v>12</v>
      </c>
      <c r="F54" s="115">
        <f>VLOOKUP(D54,'[3]Прайс 2022'!D$12:G$99,3,0)</f>
        <v>650</v>
      </c>
      <c r="G54" s="114">
        <f>VLOOKUP(D54,'[3]Прайс 2022'!D$12:G$99,4,0)</f>
        <v>252.2</v>
      </c>
      <c r="H54" s="142">
        <f>2889.38876*1.05*1.2</f>
        <v>3640.6298376</v>
      </c>
      <c r="I54" s="112">
        <f t="shared" si="26"/>
        <v>1117.6733601431999</v>
      </c>
      <c r="J54" s="112">
        <v>2884.0857660104098</v>
      </c>
      <c r="K54" s="112">
        <v>152.39021235785725</v>
      </c>
      <c r="L54" s="140">
        <v>2455.9804459999996</v>
      </c>
      <c r="M54" s="139">
        <f t="shared" si="27"/>
        <v>10250.759622111467</v>
      </c>
      <c r="N54" s="141">
        <v>666.06111955072811</v>
      </c>
      <c r="O54" s="112">
        <v>958.46400000000006</v>
      </c>
      <c r="P54" s="109">
        <v>8336.5081932203411</v>
      </c>
      <c r="Q54" s="109">
        <f t="shared" si="28"/>
        <v>333.46032772881364</v>
      </c>
      <c r="R54" s="140">
        <v>0</v>
      </c>
      <c r="S54" s="139">
        <f t="shared" si="29"/>
        <v>10294.493640499883</v>
      </c>
      <c r="T54" s="138">
        <f t="shared" si="30"/>
        <v>20545.25326261135</v>
      </c>
      <c r="U54" s="137">
        <f t="shared" si="31"/>
        <v>862.77226819438181</v>
      </c>
      <c r="V54" s="136">
        <f t="shared" si="32"/>
        <v>15.996059349084435</v>
      </c>
      <c r="W54" s="137">
        <f t="shared" si="33"/>
        <v>896.94146693475341</v>
      </c>
      <c r="X54" s="136">
        <f t="shared" si="34"/>
        <v>16.629566650038274</v>
      </c>
      <c r="Y54" s="137">
        <f t="shared" si="35"/>
        <v>939.65296536021788</v>
      </c>
      <c r="Z54" s="136">
        <f t="shared" si="36"/>
        <v>17.421450776230568</v>
      </c>
      <c r="AA54" s="103"/>
      <c r="AB54" s="102">
        <f t="shared" si="22"/>
        <v>863</v>
      </c>
      <c r="AC54" s="135">
        <f t="shared" si="23"/>
        <v>16</v>
      </c>
      <c r="AD54" s="102">
        <f t="shared" si="24"/>
        <v>897</v>
      </c>
      <c r="AE54" s="135">
        <f t="shared" si="25"/>
        <v>16.700000000000003</v>
      </c>
      <c r="AF54" s="102">
        <f t="shared" si="37"/>
        <v>940</v>
      </c>
      <c r="AG54" s="135">
        <f t="shared" si="38"/>
        <v>17.5</v>
      </c>
      <c r="AH54" s="102">
        <f t="shared" si="43"/>
        <v>1068.8</v>
      </c>
      <c r="AI54" s="102">
        <f t="shared" si="44"/>
        <v>17.680000000000003</v>
      </c>
      <c r="AJ54" s="101">
        <f t="shared" si="41"/>
        <v>1.1370212765957446</v>
      </c>
      <c r="AK54" s="101">
        <f t="shared" si="42"/>
        <v>1.0102857142857145</v>
      </c>
      <c r="AL54" s="102">
        <v>1336</v>
      </c>
      <c r="AM54" s="135">
        <v>22.1</v>
      </c>
    </row>
    <row r="55" spans="1:39" outlineLevel="1" x14ac:dyDescent="0.3">
      <c r="C55" s="203"/>
      <c r="D55" s="116" t="s">
        <v>11</v>
      </c>
      <c r="E55" s="116">
        <f>VLOOKUP(D55,'[3]Прайс 2022'!D$12:E$99,2,0)</f>
        <v>12</v>
      </c>
      <c r="F55" s="115">
        <f>VLOOKUP(D55,'[3]Прайс 2022'!D$12:G$99,3,0)</f>
        <v>650</v>
      </c>
      <c r="G55" s="114">
        <f>VLOOKUP(D55,'[3]Прайс 2022'!D$12:G$99,4,0)</f>
        <v>252.2</v>
      </c>
      <c r="H55" s="142">
        <f>2889.38876*1.05*1.2</f>
        <v>3640.6298376</v>
      </c>
      <c r="I55" s="112">
        <f t="shared" si="26"/>
        <v>1117.6733601431999</v>
      </c>
      <c r="J55" s="112">
        <v>6921.8058384249834</v>
      </c>
      <c r="K55" s="112">
        <v>152.39021235785725</v>
      </c>
      <c r="L55" s="140">
        <v>2455.9804459999996</v>
      </c>
      <c r="M55" s="139">
        <f t="shared" si="27"/>
        <v>14288.47969452604</v>
      </c>
      <c r="N55" s="141">
        <v>739.3278427013081</v>
      </c>
      <c r="O55" s="112">
        <v>4193.2800000000007</v>
      </c>
      <c r="P55" s="109">
        <v>7953.028816332202</v>
      </c>
      <c r="Q55" s="109">
        <f t="shared" si="28"/>
        <v>318.12115265328811</v>
      </c>
      <c r="R55" s="140">
        <v>0</v>
      </c>
      <c r="S55" s="139">
        <f t="shared" si="29"/>
        <v>13203.757811686799</v>
      </c>
      <c r="T55" s="138">
        <f t="shared" si="30"/>
        <v>27492.237506212841</v>
      </c>
      <c r="U55" s="137">
        <f t="shared" si="31"/>
        <v>1202.6137076226084</v>
      </c>
      <c r="V55" s="136">
        <f t="shared" si="32"/>
        <v>20.516608292005643</v>
      </c>
      <c r="W55" s="137">
        <f t="shared" si="33"/>
        <v>1250.2419732710284</v>
      </c>
      <c r="X55" s="136">
        <f t="shared" si="34"/>
        <v>21.329147234263292</v>
      </c>
      <c r="Y55" s="137">
        <f t="shared" si="35"/>
        <v>1309.7773053315539</v>
      </c>
      <c r="Z55" s="136">
        <f t="shared" si="36"/>
        <v>22.344820912085353</v>
      </c>
      <c r="AA55" s="103"/>
      <c r="AB55" s="102">
        <f t="shared" si="22"/>
        <v>1203</v>
      </c>
      <c r="AC55" s="135">
        <f t="shared" si="23"/>
        <v>20.6</v>
      </c>
      <c r="AD55" s="102">
        <f t="shared" si="24"/>
        <v>1250</v>
      </c>
      <c r="AE55" s="135">
        <f t="shared" si="25"/>
        <v>21.400000000000002</v>
      </c>
      <c r="AF55" s="102">
        <f t="shared" si="37"/>
        <v>1310</v>
      </c>
      <c r="AG55" s="135">
        <f t="shared" si="38"/>
        <v>22.400000000000002</v>
      </c>
      <c r="AH55" s="102">
        <f t="shared" si="43"/>
        <v>1405.6000000000001</v>
      </c>
      <c r="AI55" s="102">
        <f t="shared" si="44"/>
        <v>22.080000000000002</v>
      </c>
      <c r="AJ55" s="101">
        <f t="shared" si="41"/>
        <v>1.0729770992366414</v>
      </c>
      <c r="AK55" s="101">
        <f t="shared" si="42"/>
        <v>0.98571428571428565</v>
      </c>
      <c r="AL55" s="102">
        <v>1757</v>
      </c>
      <c r="AM55" s="135">
        <v>27.6</v>
      </c>
    </row>
    <row r="56" spans="1:39" outlineLevel="1" x14ac:dyDescent="0.3">
      <c r="C56" s="182" t="s">
        <v>109</v>
      </c>
      <c r="D56" s="181"/>
      <c r="E56" s="202"/>
      <c r="F56" s="201"/>
      <c r="G56" s="200"/>
      <c r="H56" s="180"/>
      <c r="I56" s="178"/>
      <c r="J56" s="178"/>
      <c r="K56" s="178"/>
      <c r="L56" s="177"/>
      <c r="M56" s="176"/>
      <c r="N56" s="179"/>
      <c r="O56" s="178"/>
      <c r="P56" s="178"/>
      <c r="Q56" s="178"/>
      <c r="R56" s="177"/>
      <c r="S56" s="176"/>
      <c r="T56" s="175"/>
      <c r="U56" s="174"/>
      <c r="V56" s="173"/>
      <c r="W56" s="174"/>
      <c r="X56" s="173"/>
      <c r="Y56" s="174"/>
      <c r="Z56" s="173"/>
      <c r="AB56" s="171">
        <f t="shared" si="22"/>
        <v>0</v>
      </c>
      <c r="AC56" s="170">
        <f t="shared" si="23"/>
        <v>0</v>
      </c>
      <c r="AD56" s="171">
        <f t="shared" si="24"/>
        <v>0</v>
      </c>
      <c r="AE56" s="170">
        <f t="shared" si="25"/>
        <v>0</v>
      </c>
      <c r="AF56" s="171"/>
      <c r="AG56" s="170"/>
      <c r="AH56" s="171"/>
      <c r="AI56" s="170"/>
      <c r="AJ56" s="172"/>
      <c r="AK56" s="172"/>
      <c r="AL56" s="171"/>
      <c r="AM56" s="170"/>
    </row>
    <row r="57" spans="1:39" x14ac:dyDescent="0.3">
      <c r="C57" s="131" t="s">
        <v>48</v>
      </c>
      <c r="D57" s="169"/>
      <c r="E57" s="116"/>
      <c r="F57" s="115"/>
      <c r="G57" s="114"/>
      <c r="H57" s="168"/>
      <c r="I57" s="166"/>
      <c r="J57" s="166"/>
      <c r="K57" s="166"/>
      <c r="L57" s="165"/>
      <c r="M57" s="164"/>
      <c r="N57" s="167"/>
      <c r="O57" s="166"/>
      <c r="P57" s="166"/>
      <c r="Q57" s="166"/>
      <c r="R57" s="165"/>
      <c r="S57" s="164"/>
      <c r="T57" s="163"/>
      <c r="U57" s="162"/>
      <c r="V57" s="161"/>
      <c r="W57" s="162"/>
      <c r="X57" s="161"/>
      <c r="Y57" s="162"/>
      <c r="Z57" s="161"/>
      <c r="AB57" s="159">
        <f t="shared" si="22"/>
        <v>0</v>
      </c>
      <c r="AC57" s="158">
        <f t="shared" si="23"/>
        <v>0</v>
      </c>
      <c r="AD57" s="159">
        <f t="shared" si="24"/>
        <v>0</v>
      </c>
      <c r="AE57" s="158">
        <f t="shared" si="25"/>
        <v>0</v>
      </c>
      <c r="AF57" s="159"/>
      <c r="AG57" s="158"/>
      <c r="AH57" s="159"/>
      <c r="AI57" s="158"/>
      <c r="AJ57" s="160"/>
      <c r="AK57" s="160"/>
      <c r="AL57" s="159"/>
      <c r="AM57" s="158"/>
    </row>
    <row r="58" spans="1:39" outlineLevel="1" x14ac:dyDescent="0.3">
      <c r="A58" s="157"/>
      <c r="C58" s="143">
        <v>3015</v>
      </c>
      <c r="D58" s="116" t="s">
        <v>446</v>
      </c>
      <c r="E58" s="116">
        <f>IFERROR(VLOOKUP($D58,[1]Тарифы!$D$7:$M$93,8,FALSE),0)</f>
        <v>12</v>
      </c>
      <c r="F58" s="115">
        <f>IFERROR(VLOOKUP($D58,[1]Тарифы!$D$7:$M$93,9,FALSE),0)</f>
        <v>650</v>
      </c>
      <c r="G58" s="114">
        <f>IFERROR(VLOOKUP($D58,[1]Тарифы!$D$7:$M$93,10,FALSE),0)</f>
        <v>126.1</v>
      </c>
      <c r="H58" s="142">
        <f>[2]Газ3302!$F56*1.05*1.2</f>
        <v>4457.8207648800017</v>
      </c>
      <c r="I58" s="112">
        <f>H58*0.307</f>
        <v>1368.5509748181605</v>
      </c>
      <c r="J58" s="112">
        <f>[2]Газ3302!$F61</f>
        <v>116.38820011320118</v>
      </c>
      <c r="K58" s="112">
        <f>[2]Газ3302!$F63</f>
        <v>78.32055840522267</v>
      </c>
      <c r="L58" s="140">
        <f>[2]Газ3302!$F77</f>
        <v>3007.2600398000009</v>
      </c>
      <c r="M58" s="139">
        <f>SUM(H58:L58)</f>
        <v>9028.3405380165877</v>
      </c>
      <c r="N58" s="141">
        <f>[2]Газ3302!$F27</f>
        <v>0</v>
      </c>
      <c r="O58" s="112">
        <f>[2]Газ3302!$F29</f>
        <v>173.95182872435328</v>
      </c>
      <c r="P58" s="109">
        <f>([2]Газ3302!$F40)*1.3</f>
        <v>4102.6955593220346</v>
      </c>
      <c r="Q58" s="109">
        <f>P58*0.04</f>
        <v>164.10782237288137</v>
      </c>
      <c r="R58" s="140">
        <f>[2]Газ3302!$F53</f>
        <v>1.9295764490162066</v>
      </c>
      <c r="S58" s="139">
        <f>SUM(N58:R58)</f>
        <v>4442.6847868682853</v>
      </c>
      <c r="T58" s="138">
        <f>M58+S58</f>
        <v>13471.025324884873</v>
      </c>
      <c r="U58" s="137">
        <f>((M58*$U$6)+M58)/E58</f>
        <v>759.88532861639612</v>
      </c>
      <c r="V58" s="136">
        <f>((S58*$U$6)+S58)/F58</f>
        <v>6.9032486688261043</v>
      </c>
      <c r="W58" s="137">
        <f>((M58*$W$6)+M58)/E58</f>
        <v>789.97979707645152</v>
      </c>
      <c r="X58" s="136">
        <f>((S58*$W$6)+S58)/F58</f>
        <v>7.176644655710307</v>
      </c>
      <c r="Y58" s="137">
        <f>((M58*$Y$6)+M58)/E58</f>
        <v>827.59788265152054</v>
      </c>
      <c r="Z58" s="136">
        <f>((S58*$Y$6)+S58)/F58</f>
        <v>7.5183896393155596</v>
      </c>
      <c r="AA58" s="103"/>
      <c r="AB58" s="102">
        <f t="shared" si="22"/>
        <v>760</v>
      </c>
      <c r="AC58" s="135">
        <f t="shared" si="23"/>
        <v>7</v>
      </c>
      <c r="AD58" s="102">
        <f t="shared" si="24"/>
        <v>790</v>
      </c>
      <c r="AE58" s="135">
        <f t="shared" si="25"/>
        <v>7.1999999999999993</v>
      </c>
      <c r="AF58" s="102">
        <f>MROUND(Y58,1)</f>
        <v>828</v>
      </c>
      <c r="AG58" s="135">
        <f>ROUNDUP(Z58,1)</f>
        <v>7.6</v>
      </c>
      <c r="AH58" s="102">
        <f t="shared" ref="AH58:AI60" si="45">AL58*0.8</f>
        <v>483.20000000000005</v>
      </c>
      <c r="AI58" s="102">
        <f t="shared" si="45"/>
        <v>6.24</v>
      </c>
      <c r="AJ58" s="101">
        <f t="shared" ref="AJ58:AK60" si="46">AH58/AF58</f>
        <v>0.5835748792270532</v>
      </c>
      <c r="AK58" s="101">
        <f t="shared" si="46"/>
        <v>0.82105263157894748</v>
      </c>
      <c r="AL58" s="102">
        <v>604</v>
      </c>
      <c r="AM58" s="135">
        <v>7.8</v>
      </c>
    </row>
    <row r="59" spans="1:39" outlineLevel="1" x14ac:dyDescent="0.3">
      <c r="A59" s="157"/>
      <c r="C59" s="143">
        <v>3015</v>
      </c>
      <c r="D59" s="116" t="s">
        <v>445</v>
      </c>
      <c r="E59" s="116">
        <f>IFERROR(VLOOKUP($D59,[1]Тарифы!$D$7:$M$93,8,FALSE),0)</f>
        <v>12</v>
      </c>
      <c r="F59" s="115">
        <f>IFERROR(VLOOKUP($D59,[1]Тарифы!$D$7:$M$93,9,FALSE),0)</f>
        <v>650</v>
      </c>
      <c r="G59" s="114">
        <f>IFERROR(VLOOKUP($D59,[1]Тарифы!$D$7:$M$93,10,FALSE),0)</f>
        <v>122.2</v>
      </c>
      <c r="H59" s="142">
        <f>'[2]Газ33023,52'!$F56*1.05*1.2</f>
        <v>4457.8207648800017</v>
      </c>
      <c r="I59" s="112">
        <f>H59*0.307</f>
        <v>1368.5509748181605</v>
      </c>
      <c r="J59" s="112">
        <f>'[2]Газ33023,52'!$F61</f>
        <v>245.63097723028318</v>
      </c>
      <c r="K59" s="112">
        <f>'[2]Газ33023,52'!$F63</f>
        <v>83.624180327868856</v>
      </c>
      <c r="L59" s="140">
        <f>'[2]Газ33023,52'!$F77</f>
        <v>3007.2600398000009</v>
      </c>
      <c r="M59" s="139">
        <f>SUM(H59:L59)</f>
        <v>9162.8869370563152</v>
      </c>
      <c r="N59" s="141">
        <f>'[2]Газ33023,52'!$F27</f>
        <v>1223.0287918696843</v>
      </c>
      <c r="O59" s="112">
        <f>'[2]Газ33023,52'!$F29</f>
        <v>173.95149473684211</v>
      </c>
      <c r="P59" s="109">
        <f>('[2]Газ33023,52'!$F40)*1.3</f>
        <v>3975.8080677966109</v>
      </c>
      <c r="Q59" s="109">
        <f>P59*0.04</f>
        <v>159.03232271186445</v>
      </c>
      <c r="R59" s="140">
        <f>'[2]Газ33023,52'!$F53</f>
        <v>9.8670085124655849</v>
      </c>
      <c r="S59" s="139">
        <f>SUM(N59:R59)</f>
        <v>5541.6876856274675</v>
      </c>
      <c r="T59" s="138">
        <f>M59+S59</f>
        <v>14704.574622683784</v>
      </c>
      <c r="U59" s="137">
        <f>((M59*$U$6)+M59)/E59</f>
        <v>771.20965053557313</v>
      </c>
      <c r="V59" s="136">
        <f>((S59*$U$6)+S59)/F59</f>
        <v>8.6109300961288344</v>
      </c>
      <c r="W59" s="137">
        <f>((M59*$W$6)+M59)/E59</f>
        <v>801.75260699242756</v>
      </c>
      <c r="X59" s="136">
        <f>((S59*$W$6)+S59)/F59</f>
        <v>8.9519570306289875</v>
      </c>
      <c r="Y59" s="137">
        <f>((M59*$Y$6)+M59)/E59</f>
        <v>839.93130256349559</v>
      </c>
      <c r="Z59" s="136">
        <f>((S59*$Y$6)+S59)/F59</f>
        <v>9.3782406987541762</v>
      </c>
      <c r="AA59" s="103"/>
      <c r="AB59" s="102">
        <f t="shared" si="22"/>
        <v>771</v>
      </c>
      <c r="AC59" s="135">
        <f t="shared" si="23"/>
        <v>8.6999999999999993</v>
      </c>
      <c r="AD59" s="102">
        <f t="shared" si="24"/>
        <v>802</v>
      </c>
      <c r="AE59" s="135">
        <f t="shared" si="25"/>
        <v>9</v>
      </c>
      <c r="AF59" s="102">
        <f>MROUND(Y59,1)</f>
        <v>840</v>
      </c>
      <c r="AG59" s="135">
        <f>ROUNDUP(Z59,1)</f>
        <v>9.4</v>
      </c>
      <c r="AH59" s="102">
        <f t="shared" si="45"/>
        <v>496</v>
      </c>
      <c r="AI59" s="102">
        <f t="shared" si="45"/>
        <v>7.76</v>
      </c>
      <c r="AJ59" s="101">
        <f t="shared" si="46"/>
        <v>0.59047619047619049</v>
      </c>
      <c r="AK59" s="101">
        <f t="shared" si="46"/>
        <v>0.82553191489361699</v>
      </c>
      <c r="AL59" s="102">
        <v>620</v>
      </c>
      <c r="AM59" s="135">
        <v>9.6999999999999993</v>
      </c>
    </row>
    <row r="60" spans="1:39" outlineLevel="1" x14ac:dyDescent="0.3">
      <c r="A60" s="157"/>
      <c r="C60" s="143">
        <v>3015</v>
      </c>
      <c r="D60" s="116" t="s">
        <v>444</v>
      </c>
      <c r="E60" s="116">
        <f>IFERROR(VLOOKUP($D60,[1]Тарифы!$D$7:$M$93,8,FALSE),0)</f>
        <v>12</v>
      </c>
      <c r="F60" s="115">
        <f>IFERROR(VLOOKUP($D60,[1]Тарифы!$D$7:$M$93,9,FALSE),0)</f>
        <v>650</v>
      </c>
      <c r="G60" s="114">
        <f>IFERROR(VLOOKUP($D60,[1]Тарифы!$D$7:$M$93,10,FALSE),0)</f>
        <v>118.3</v>
      </c>
      <c r="H60" s="142">
        <f>'[2]Уаз3303,3909'!$F56*1.05*1.2</f>
        <v>4457.8207648800017</v>
      </c>
      <c r="I60" s="112">
        <f>H60*0.307</f>
        <v>1368.5509748181605</v>
      </c>
      <c r="J60" s="112">
        <f>'[2]Уаз3303,3909'!$F61</f>
        <v>68.129072523181819</v>
      </c>
      <c r="K60" s="112">
        <f>'[2]Уаз3303,3909'!$F63</f>
        <v>70.35247727272727</v>
      </c>
      <c r="L60" s="140">
        <f>'[2]Уаз3303,3909'!$F77</f>
        <v>3007.2600398000009</v>
      </c>
      <c r="M60" s="139">
        <f>SUM(H60:L60)</f>
        <v>8972.1133292940722</v>
      </c>
      <c r="N60" s="141">
        <f>'[2]Уаз3303,3909'!$F27</f>
        <v>1223.0287918696843</v>
      </c>
      <c r="O60" s="112">
        <f>'[2]Уаз3303,3909'!$F29</f>
        <v>127.93912258064518</v>
      </c>
      <c r="P60" s="109">
        <f>('[2]Уаз3303,3909'!$F40)*1.3</f>
        <v>3848.9205762711872</v>
      </c>
      <c r="Q60" s="109">
        <f>P60*0.04</f>
        <v>153.9568230508475</v>
      </c>
      <c r="R60" s="140">
        <f>'[2]Уаз3303,3909'!$F53</f>
        <v>0</v>
      </c>
      <c r="S60" s="139">
        <f>SUM(N60:R60)</f>
        <v>5353.8453137723636</v>
      </c>
      <c r="T60" s="138">
        <f>M60+S60</f>
        <v>14325.958643066435</v>
      </c>
      <c r="U60" s="137">
        <f>((M60*$U$6)+M60)/E60</f>
        <v>755.15287188225102</v>
      </c>
      <c r="V60" s="136">
        <f>((S60*$U$6)+S60)/F60</f>
        <v>8.3190519490924419</v>
      </c>
      <c r="W60" s="137">
        <f>((M60*$W$6)+M60)/E60</f>
        <v>785.05991631323138</v>
      </c>
      <c r="X60" s="136">
        <f>((S60*$W$6)+S60)/F60</f>
        <v>8.6485193530168942</v>
      </c>
      <c r="Y60" s="137">
        <f>((M60*$Y$6)+M60)/E60</f>
        <v>822.44372185195664</v>
      </c>
      <c r="Z60" s="136">
        <f>((S60*$Y$6)+S60)/F60</f>
        <v>9.0603536079224618</v>
      </c>
      <c r="AA60" s="103"/>
      <c r="AB60" s="102">
        <f t="shared" si="22"/>
        <v>755</v>
      </c>
      <c r="AC60" s="135">
        <f t="shared" si="23"/>
        <v>8.4</v>
      </c>
      <c r="AD60" s="102">
        <f t="shared" si="24"/>
        <v>785</v>
      </c>
      <c r="AE60" s="135">
        <f t="shared" si="25"/>
        <v>8.6999999999999993</v>
      </c>
      <c r="AF60" s="102">
        <f>MROUND(Y60,1)</f>
        <v>822</v>
      </c>
      <c r="AG60" s="135">
        <f>ROUNDUP(Z60,1)</f>
        <v>9.1</v>
      </c>
      <c r="AH60" s="102">
        <f t="shared" si="45"/>
        <v>516.80000000000007</v>
      </c>
      <c r="AI60" s="102">
        <f t="shared" si="45"/>
        <v>8.08</v>
      </c>
      <c r="AJ60" s="101">
        <f t="shared" si="46"/>
        <v>0.6287104622871047</v>
      </c>
      <c r="AK60" s="101">
        <f t="shared" si="46"/>
        <v>0.88791208791208798</v>
      </c>
      <c r="AL60" s="102">
        <v>646</v>
      </c>
      <c r="AM60" s="135">
        <v>10.1</v>
      </c>
    </row>
    <row r="61" spans="1:39" outlineLevel="1" x14ac:dyDescent="0.3">
      <c r="C61" s="131" t="s">
        <v>443</v>
      </c>
      <c r="D61" s="169"/>
      <c r="E61" s="116"/>
      <c r="F61" s="115"/>
      <c r="G61" s="114"/>
      <c r="H61" s="168"/>
      <c r="I61" s="166"/>
      <c r="J61" s="166"/>
      <c r="K61" s="166"/>
      <c r="L61" s="165"/>
      <c r="M61" s="164"/>
      <c r="N61" s="167"/>
      <c r="O61" s="166"/>
      <c r="P61" s="166"/>
      <c r="Q61" s="166"/>
      <c r="R61" s="165"/>
      <c r="S61" s="164"/>
      <c r="T61" s="163"/>
      <c r="U61" s="162"/>
      <c r="V61" s="161"/>
      <c r="W61" s="162"/>
      <c r="X61" s="161"/>
      <c r="Y61" s="162"/>
      <c r="Z61" s="161"/>
      <c r="AB61" s="159">
        <f t="shared" si="22"/>
        <v>0</v>
      </c>
      <c r="AC61" s="158">
        <f t="shared" si="23"/>
        <v>0</v>
      </c>
      <c r="AD61" s="159">
        <f t="shared" si="24"/>
        <v>0</v>
      </c>
      <c r="AE61" s="158">
        <f t="shared" si="25"/>
        <v>0</v>
      </c>
      <c r="AF61" s="159"/>
      <c r="AG61" s="158"/>
      <c r="AH61" s="159"/>
      <c r="AI61" s="158"/>
      <c r="AJ61" s="160"/>
      <c r="AK61" s="160"/>
      <c r="AL61" s="159"/>
      <c r="AM61" s="158"/>
    </row>
    <row r="62" spans="1:39" outlineLevel="1" x14ac:dyDescent="0.3">
      <c r="C62" s="131"/>
      <c r="D62" s="116" t="s">
        <v>420</v>
      </c>
      <c r="E62" s="116">
        <f>IFERROR(VLOOKUP($D62,[1]Тарифы!$D$7:$M$93,8,FALSE),0)</f>
        <v>9</v>
      </c>
      <c r="F62" s="115">
        <f>IFERROR(VLOOKUP($D62,[1]Тарифы!$D$7:$M$93,9,FALSE),0)</f>
        <v>650</v>
      </c>
      <c r="G62" s="114">
        <f>IFERROR(VLOOKUP($D62,[1]Тарифы!$D$7:$M$93,10,FALSE),0)</f>
        <v>121.55</v>
      </c>
      <c r="H62" s="142">
        <f>[2]Газели_рефриж!$F56*1.05*1.2</f>
        <v>2907.969575175</v>
      </c>
      <c r="I62" s="112">
        <f>H62*0.307</f>
        <v>892.74665957872503</v>
      </c>
      <c r="J62" s="112">
        <f>[2]Газели_рефриж!$F61</f>
        <v>177.76568062400352</v>
      </c>
      <c r="K62" s="112">
        <f>[2]Газели_рефриж!$F63</f>
        <v>54.984572796648216</v>
      </c>
      <c r="L62" s="140">
        <f>[2]Газели_рефриж!$F77</f>
        <v>1961.7255070625001</v>
      </c>
      <c r="M62" s="139">
        <f>SUM(H62:L62)</f>
        <v>5995.1919952368771</v>
      </c>
      <c r="N62" s="141">
        <f>[2]Газели_рефриж!$F27</f>
        <v>1100.3721544847242</v>
      </c>
      <c r="O62" s="112">
        <f>[2]Газели_рефриж!$F29</f>
        <v>173.95182872435328</v>
      </c>
      <c r="P62" s="109">
        <f>([2]Газели_рефриж!$F40)*1.3</f>
        <v>3954.6601525423735</v>
      </c>
      <c r="Q62" s="109">
        <f>P62*0.04</f>
        <v>158.18640610169493</v>
      </c>
      <c r="R62" s="140">
        <f>[2]Газели_рефриж!$F53</f>
        <v>0</v>
      </c>
      <c r="S62" s="139">
        <f>SUM(N62:R62)</f>
        <v>5387.1705418531456</v>
      </c>
      <c r="T62" s="138">
        <f>M62+S62</f>
        <v>11382.362537090023</v>
      </c>
      <c r="U62" s="137">
        <f>((M62*$U$6)+M62)/E62</f>
        <v>672.79376835436062</v>
      </c>
      <c r="V62" s="136">
        <f>((S62*$U$6)+S62)/F62</f>
        <v>8.3708342265718105</v>
      </c>
      <c r="W62" s="137">
        <f>((M62*$W$6)+M62)/E62</f>
        <v>699.43906611096895</v>
      </c>
      <c r="X62" s="136">
        <f>((S62*$W$6)+S62)/F62</f>
        <v>8.7023524137627728</v>
      </c>
      <c r="Y62" s="137">
        <f>((M62*$Y$6)+M62)/E62</f>
        <v>732.74568830672933</v>
      </c>
      <c r="Z62" s="136">
        <f>((S62*$Y$6)+S62)/F62</f>
        <v>9.1167501477514765</v>
      </c>
      <c r="AA62" s="103"/>
      <c r="AB62" s="102">
        <f t="shared" si="22"/>
        <v>673</v>
      </c>
      <c r="AC62" s="135">
        <f t="shared" si="23"/>
        <v>8.4</v>
      </c>
      <c r="AD62" s="102">
        <f t="shared" si="24"/>
        <v>699</v>
      </c>
      <c r="AE62" s="135">
        <f t="shared" si="25"/>
        <v>8.7999999999999989</v>
      </c>
      <c r="AF62" s="102">
        <f>MROUND(Y62,1)</f>
        <v>733</v>
      </c>
      <c r="AG62" s="135">
        <f>ROUNDUP(Z62,1)</f>
        <v>9.1999999999999993</v>
      </c>
      <c r="AH62" s="102">
        <f>AL62*0.8</f>
        <v>574.4</v>
      </c>
      <c r="AI62" s="102">
        <f>AM62*0.8</f>
        <v>8.4</v>
      </c>
      <c r="AJ62" s="101">
        <f>AH62/AF62</f>
        <v>0.78362892223738057</v>
      </c>
      <c r="AK62" s="101">
        <f>AI62/AG62</f>
        <v>0.91304347826086962</v>
      </c>
      <c r="AL62" s="102">
        <v>718</v>
      </c>
      <c r="AM62" s="135">
        <v>10.5</v>
      </c>
    </row>
    <row r="63" spans="1:39" outlineLevel="1" x14ac:dyDescent="0.3">
      <c r="C63" s="131" t="s">
        <v>442</v>
      </c>
      <c r="D63" s="169"/>
      <c r="E63" s="116"/>
      <c r="F63" s="115"/>
      <c r="G63" s="114"/>
      <c r="H63" s="168"/>
      <c r="I63" s="166"/>
      <c r="J63" s="166"/>
      <c r="K63" s="166"/>
      <c r="L63" s="165"/>
      <c r="M63" s="164"/>
      <c r="N63" s="167"/>
      <c r="O63" s="166"/>
      <c r="P63" s="166"/>
      <c r="Q63" s="166"/>
      <c r="R63" s="165"/>
      <c r="S63" s="164"/>
      <c r="T63" s="163"/>
      <c r="U63" s="162"/>
      <c r="V63" s="161"/>
      <c r="W63" s="162"/>
      <c r="X63" s="161"/>
      <c r="Y63" s="162"/>
      <c r="Z63" s="161"/>
      <c r="AB63" s="159">
        <f t="shared" si="22"/>
        <v>0</v>
      </c>
      <c r="AC63" s="158">
        <f t="shared" si="23"/>
        <v>0</v>
      </c>
      <c r="AD63" s="159">
        <f t="shared" si="24"/>
        <v>0</v>
      </c>
      <c r="AE63" s="158">
        <f t="shared" si="25"/>
        <v>0</v>
      </c>
      <c r="AF63" s="159"/>
      <c r="AG63" s="158"/>
      <c r="AH63" s="159"/>
      <c r="AI63" s="158"/>
      <c r="AJ63" s="160"/>
      <c r="AK63" s="160"/>
      <c r="AL63" s="159"/>
      <c r="AM63" s="158"/>
    </row>
    <row r="64" spans="1:39" outlineLevel="1" x14ac:dyDescent="0.3">
      <c r="C64" s="131"/>
      <c r="D64" s="116" t="s">
        <v>441</v>
      </c>
      <c r="E64" s="116">
        <f>IFERROR(VLOOKUP($D64,[1]Тарифы!$D$7:$M$93,8,FALSE),0)</f>
        <v>9</v>
      </c>
      <c r="F64" s="115">
        <f>IFERROR(VLOOKUP($D64,[1]Тарифы!$D$7:$M$93,9,FALSE),0)</f>
        <v>650</v>
      </c>
      <c r="G64" s="114">
        <f>IFERROR(VLOOKUP($D64,[1]Тарифы!$D$7:$M$93,10,FALSE),0)</f>
        <v>117</v>
      </c>
      <c r="H64" s="142">
        <f>'[2]Isuzu,Hyundai'!$F56*1.05*1.2</f>
        <v>2907.969575175</v>
      </c>
      <c r="I64" s="112">
        <f>H64*0.307</f>
        <v>892.74665957872503</v>
      </c>
      <c r="J64" s="112">
        <f>'[2]Isuzu,Hyundai'!$F61</f>
        <v>375.78317025440248</v>
      </c>
      <c r="K64" s="112">
        <f>'[2]Isuzu,Hyundai'!$F63</f>
        <v>55.091739130434782</v>
      </c>
      <c r="L64" s="140">
        <f>'[2]Isuzu,Hyundai'!$F77</f>
        <v>1961.7255070625001</v>
      </c>
      <c r="M64" s="139">
        <f>SUM(H64:L64)</f>
        <v>6193.316651201063</v>
      </c>
      <c r="N64" s="141">
        <f>'[2]Isuzu,Hyundai'!$F27</f>
        <v>1833.9535908078735</v>
      </c>
      <c r="O64" s="112">
        <f>'[2]Isuzu,Hyundai'!$F29</f>
        <v>245.66152289400458</v>
      </c>
      <c r="P64" s="109">
        <f>('[2]Isuzu,Hyundai'!$F40)*1.3</f>
        <v>4008.2216949152548</v>
      </c>
      <c r="Q64" s="109">
        <f>P64*0.04</f>
        <v>160.32886779661018</v>
      </c>
      <c r="R64" s="140">
        <f>'[2]Isuzu,Hyundai'!$F53</f>
        <v>0</v>
      </c>
      <c r="S64" s="139">
        <f>SUM(N64:R64)</f>
        <v>6248.1656764137433</v>
      </c>
      <c r="T64" s="138">
        <f>M64+S64</f>
        <v>12441.482327614805</v>
      </c>
      <c r="U64" s="137">
        <f>((M64*$U$6)+M64)/E64</f>
        <v>695.02775752367484</v>
      </c>
      <c r="V64" s="136">
        <f>((S64*$U$6)+S64)/F64</f>
        <v>9.7086882048890466</v>
      </c>
      <c r="W64" s="137">
        <f>((M64*$W$6)+M64)/E64</f>
        <v>722.55360930679069</v>
      </c>
      <c r="X64" s="136">
        <f>((S64*$W$6)+S64)/F64</f>
        <v>10.093190708052969</v>
      </c>
      <c r="Y64" s="137">
        <f>((M64*$Y$6)+M64)/E64</f>
        <v>756.96092403568548</v>
      </c>
      <c r="Z64" s="136">
        <f>((S64*$Y$6)+S64)/F64</f>
        <v>10.573818837007874</v>
      </c>
      <c r="AA64" s="103"/>
      <c r="AB64" s="102">
        <f t="shared" si="22"/>
        <v>695</v>
      </c>
      <c r="AC64" s="135">
        <f t="shared" si="23"/>
        <v>9.7999999999999989</v>
      </c>
      <c r="AD64" s="102">
        <f t="shared" si="24"/>
        <v>723</v>
      </c>
      <c r="AE64" s="135">
        <f t="shared" si="25"/>
        <v>10.1</v>
      </c>
      <c r="AF64" s="102">
        <f>MROUND(Y64,1)</f>
        <v>757</v>
      </c>
      <c r="AG64" s="135">
        <f>ROUNDUP(Z64,1)</f>
        <v>10.6</v>
      </c>
      <c r="AH64" s="102">
        <f>AF64*1.1</f>
        <v>832.7</v>
      </c>
      <c r="AI64" s="102">
        <f>AG64*1.1</f>
        <v>11.66</v>
      </c>
      <c r="AJ64" s="101">
        <f>AH64/AF64</f>
        <v>1.1000000000000001</v>
      </c>
      <c r="AK64" s="101">
        <f>AI64/AG64</f>
        <v>1.1000000000000001</v>
      </c>
      <c r="AL64" s="102">
        <v>644</v>
      </c>
      <c r="AM64" s="135">
        <v>10.4</v>
      </c>
    </row>
    <row r="65" spans="1:39" outlineLevel="1" x14ac:dyDescent="0.3">
      <c r="C65" s="131" t="s">
        <v>440</v>
      </c>
      <c r="D65" s="169"/>
      <c r="E65" s="116"/>
      <c r="F65" s="115"/>
      <c r="G65" s="114"/>
      <c r="H65" s="168"/>
      <c r="I65" s="166"/>
      <c r="J65" s="166"/>
      <c r="K65" s="166"/>
      <c r="L65" s="165"/>
      <c r="M65" s="164"/>
      <c r="N65" s="167"/>
      <c r="O65" s="166"/>
      <c r="P65" s="166"/>
      <c r="Q65" s="166"/>
      <c r="R65" s="165"/>
      <c r="S65" s="164"/>
      <c r="T65" s="163"/>
      <c r="U65" s="162"/>
      <c r="V65" s="161"/>
      <c r="W65" s="162"/>
      <c r="X65" s="161"/>
      <c r="Y65" s="162"/>
      <c r="Z65" s="161"/>
      <c r="AB65" s="159">
        <f t="shared" si="22"/>
        <v>0</v>
      </c>
      <c r="AC65" s="158">
        <f t="shared" si="23"/>
        <v>0</v>
      </c>
      <c r="AD65" s="159">
        <f t="shared" si="24"/>
        <v>0</v>
      </c>
      <c r="AE65" s="158">
        <f t="shared" si="25"/>
        <v>0</v>
      </c>
      <c r="AF65" s="159"/>
      <c r="AG65" s="158"/>
      <c r="AH65" s="159"/>
      <c r="AI65" s="158"/>
      <c r="AJ65" s="160"/>
      <c r="AK65" s="160"/>
      <c r="AL65" s="159"/>
      <c r="AM65" s="158"/>
    </row>
    <row r="66" spans="1:39" outlineLevel="1" x14ac:dyDescent="0.3">
      <c r="A66" s="157"/>
      <c r="C66" s="143">
        <v>3002</v>
      </c>
      <c r="D66" s="199" t="s">
        <v>5</v>
      </c>
      <c r="E66" s="116">
        <f>VLOOKUP(D66,'[3]Прайс 2022'!D$12:E$99,2,0)</f>
        <v>12</v>
      </c>
      <c r="F66" s="115">
        <f>VLOOKUP(D66,'[3]Прайс 2022'!D$12:G$99,3,0)</f>
        <v>650</v>
      </c>
      <c r="G66" s="114">
        <f>VLOOKUP(D66,'[3]Прайс 2022'!D$12:G$99,4,0)</f>
        <v>126.1</v>
      </c>
      <c r="H66" s="142">
        <f>H62</f>
        <v>2907.969575175</v>
      </c>
      <c r="I66" s="112">
        <f>H66*0.307</f>
        <v>892.74665957872503</v>
      </c>
      <c r="J66" s="112">
        <v>811.8242126683781</v>
      </c>
      <c r="K66" s="112">
        <v>76.470652445855265</v>
      </c>
      <c r="L66" s="140">
        <v>1333.5350374999998</v>
      </c>
      <c r="M66" s="139">
        <f>SUM(H66:L66)</f>
        <v>6022.5461373679582</v>
      </c>
      <c r="N66" s="141">
        <v>0</v>
      </c>
      <c r="O66" s="112">
        <v>131.35</v>
      </c>
      <c r="P66" s="109">
        <v>2051.3477796610173</v>
      </c>
      <c r="Q66" s="109">
        <f>P66*0.04</f>
        <v>82.053911186440686</v>
      </c>
      <c r="R66" s="140">
        <v>57.676361168586595</v>
      </c>
      <c r="S66" s="139">
        <f>SUM(N66:R66)</f>
        <v>2322.4280520160441</v>
      </c>
      <c r="T66" s="138">
        <f>M66+S66</f>
        <v>8344.9741893840019</v>
      </c>
      <c r="U66" s="137">
        <f>((M66*$U$6)+M66)/E66</f>
        <v>506.89763322846983</v>
      </c>
      <c r="V66" s="136">
        <f>((S66*$U$6)+S66)/F66</f>
        <v>3.6086958962095452</v>
      </c>
      <c r="W66" s="137">
        <f>((M66*$W$6)+M66)/E66</f>
        <v>526.97278701969628</v>
      </c>
      <c r="X66" s="136">
        <f>((S66*$W$6)+S66)/F66</f>
        <v>3.7516145455643795</v>
      </c>
      <c r="Y66" s="137">
        <f>((M66*$Y$6)+M66)/E66</f>
        <v>552.06672925872954</v>
      </c>
      <c r="Z66" s="136">
        <f>((S66*$Y$6)+S66)/F66</f>
        <v>3.930262857257921</v>
      </c>
      <c r="AA66" s="103"/>
      <c r="AB66" s="102">
        <f t="shared" si="22"/>
        <v>507</v>
      </c>
      <c r="AC66" s="135">
        <f t="shared" si="23"/>
        <v>3.7</v>
      </c>
      <c r="AD66" s="102">
        <f t="shared" si="24"/>
        <v>527</v>
      </c>
      <c r="AE66" s="135">
        <f t="shared" si="25"/>
        <v>3.8000000000000003</v>
      </c>
      <c r="AF66" s="102">
        <f>MROUND(Y66,1)</f>
        <v>552</v>
      </c>
      <c r="AG66" s="135">
        <f>ROUNDUP(Z66,1)</f>
        <v>4</v>
      </c>
      <c r="AH66" s="102">
        <f t="shared" ref="AH66:AI70" si="47">AL66*0.8</f>
        <v>424.8</v>
      </c>
      <c r="AI66" s="102">
        <f t="shared" si="47"/>
        <v>3.44</v>
      </c>
      <c r="AJ66" s="101">
        <f t="shared" ref="AJ66:AK69" si="48">AH66/AF66</f>
        <v>0.76956521739130435</v>
      </c>
      <c r="AK66" s="101">
        <f t="shared" si="48"/>
        <v>0.86</v>
      </c>
      <c r="AL66" s="102">
        <v>531</v>
      </c>
      <c r="AM66" s="135">
        <v>4.3</v>
      </c>
    </row>
    <row r="67" spans="1:39" outlineLevel="1" x14ac:dyDescent="0.3">
      <c r="A67" s="157"/>
      <c r="C67" s="143">
        <v>3002</v>
      </c>
      <c r="D67" s="199" t="s">
        <v>421</v>
      </c>
      <c r="E67" s="116">
        <f>VLOOKUP(D67,'[3]Прайс 2022'!D$12:E$99,2,0)</f>
        <v>12</v>
      </c>
      <c r="F67" s="115">
        <f>VLOOKUP(D67,'[3]Прайс 2022'!D$12:G$99,3,0)</f>
        <v>650</v>
      </c>
      <c r="G67" s="114">
        <f>VLOOKUP(D67,'[3]Прайс 2022'!D$12:G$99,4,0)</f>
        <v>126.1</v>
      </c>
      <c r="H67" s="142">
        <f>1647.3079875*1.2</f>
        <v>1976.769585</v>
      </c>
      <c r="I67" s="112">
        <f>H67*0.307</f>
        <v>606.86826259500003</v>
      </c>
      <c r="J67" s="112">
        <v>811.8242126683781</v>
      </c>
      <c r="K67" s="112">
        <v>76.470652445855265</v>
      </c>
      <c r="L67" s="140">
        <v>1333.5350374999998</v>
      </c>
      <c r="M67" s="139">
        <f>SUM(H67:L67)</f>
        <v>4805.4677502092327</v>
      </c>
      <c r="N67" s="141">
        <v>0</v>
      </c>
      <c r="O67" s="112">
        <v>131.35</v>
      </c>
      <c r="P67" s="109">
        <v>2051.3477796610173</v>
      </c>
      <c r="Q67" s="109">
        <f>P67*0.04</f>
        <v>82.053911186440686</v>
      </c>
      <c r="R67" s="140">
        <v>57.676361168586595</v>
      </c>
      <c r="S67" s="139">
        <f>SUM(N67:R67)</f>
        <v>2322.4280520160441</v>
      </c>
      <c r="T67" s="138">
        <f>M67+S67</f>
        <v>7127.8958022252773</v>
      </c>
      <c r="U67" s="137">
        <f>((M67*$U$6)+M67)/E67</f>
        <v>404.46020230927707</v>
      </c>
      <c r="V67" s="136">
        <f>((S67*$U$6)+S67)/F67</f>
        <v>3.6086958962095452</v>
      </c>
      <c r="W67" s="137">
        <f>((M67*$W$6)+M67)/E67</f>
        <v>420.47842814330784</v>
      </c>
      <c r="X67" s="136">
        <f>((S67*$W$6)+S67)/F67</f>
        <v>3.7516145455643795</v>
      </c>
      <c r="Y67" s="137">
        <f>((M67*$Y$6)+M67)/E67</f>
        <v>440.50121043584636</v>
      </c>
      <c r="Z67" s="136">
        <f>((S67*$Y$6)+S67)/F67</f>
        <v>3.930262857257921</v>
      </c>
      <c r="AA67" s="103"/>
      <c r="AB67" s="102">
        <f t="shared" si="22"/>
        <v>404</v>
      </c>
      <c r="AC67" s="135">
        <f t="shared" si="23"/>
        <v>3.7</v>
      </c>
      <c r="AD67" s="102">
        <f t="shared" si="24"/>
        <v>420</v>
      </c>
      <c r="AE67" s="135">
        <f t="shared" si="25"/>
        <v>3.8000000000000003</v>
      </c>
      <c r="AF67" s="102">
        <f>MROUND(Y67,1)</f>
        <v>441</v>
      </c>
      <c r="AG67" s="135">
        <f>ROUNDUP(Z67,1)</f>
        <v>4</v>
      </c>
      <c r="AH67" s="102">
        <f t="shared" si="47"/>
        <v>424.8</v>
      </c>
      <c r="AI67" s="102">
        <f t="shared" si="47"/>
        <v>3.44</v>
      </c>
      <c r="AJ67" s="101">
        <f t="shared" si="48"/>
        <v>0.96326530612244898</v>
      </c>
      <c r="AK67" s="101">
        <f t="shared" si="48"/>
        <v>0.86</v>
      </c>
      <c r="AL67" s="102">
        <v>531</v>
      </c>
      <c r="AM67" s="135">
        <v>4.3</v>
      </c>
    </row>
    <row r="68" spans="1:39" outlineLevel="1" x14ac:dyDescent="0.3">
      <c r="A68" s="157"/>
      <c r="C68" s="143"/>
      <c r="D68" s="199" t="s">
        <v>114</v>
      </c>
      <c r="E68" s="116">
        <f>VLOOKUP(D68,'[3]Прайс 2022'!D$12:E$99,2,0)</f>
        <v>12</v>
      </c>
      <c r="F68" s="115">
        <f>VLOOKUP(D68,'[3]Прайс 2022'!D$12:G$99,3,0)</f>
        <v>650</v>
      </c>
      <c r="G68" s="114">
        <f>VLOOKUP(D68,'[3]Прайс 2022'!D$12:G$99,4,0)</f>
        <v>126.1</v>
      </c>
      <c r="H68" s="142">
        <f>1647.3079875*1.2</f>
        <v>1976.769585</v>
      </c>
      <c r="I68" s="112">
        <f>H68*0.307</f>
        <v>606.86826259500003</v>
      </c>
      <c r="J68" s="112">
        <v>811.8242126683781</v>
      </c>
      <c r="K68" s="112">
        <v>76.470652445855265</v>
      </c>
      <c r="L68" s="140">
        <v>1333.5350374999998</v>
      </c>
      <c r="M68" s="139">
        <f>SUM(H68:L68)</f>
        <v>4805.4677502092327</v>
      </c>
      <c r="N68" s="141">
        <v>0</v>
      </c>
      <c r="O68" s="112">
        <v>131.35</v>
      </c>
      <c r="P68" s="109">
        <v>2051.3477796610173</v>
      </c>
      <c r="Q68" s="109">
        <f>P68*0.04</f>
        <v>82.053911186440686</v>
      </c>
      <c r="R68" s="140">
        <v>57.676361168586595</v>
      </c>
      <c r="S68" s="139">
        <f>SUM(N68:R68)</f>
        <v>2322.4280520160441</v>
      </c>
      <c r="T68" s="138">
        <f>M68+S68</f>
        <v>7127.8958022252773</v>
      </c>
      <c r="U68" s="137">
        <f>((M68*$U$6)+M68)/E68</f>
        <v>404.46020230927707</v>
      </c>
      <c r="V68" s="136">
        <f>((S68*$U$6)+S68)/F68</f>
        <v>3.6086958962095452</v>
      </c>
      <c r="W68" s="137">
        <f>((M68*$W$6)+M68)/E68</f>
        <v>420.47842814330784</v>
      </c>
      <c r="X68" s="136">
        <f>((S68*$W$6)+S68)/F68</f>
        <v>3.7516145455643795</v>
      </c>
      <c r="Y68" s="137">
        <f>((M68*$Y$6)+M68)/E68</f>
        <v>440.50121043584636</v>
      </c>
      <c r="Z68" s="136">
        <f>((S68*$Y$6)+S68)/F68</f>
        <v>3.930262857257921</v>
      </c>
      <c r="AA68" s="103"/>
      <c r="AB68" s="102">
        <f t="shared" si="22"/>
        <v>404</v>
      </c>
      <c r="AC68" s="135">
        <f t="shared" si="23"/>
        <v>3.7</v>
      </c>
      <c r="AD68" s="102">
        <f t="shared" si="24"/>
        <v>420</v>
      </c>
      <c r="AE68" s="135">
        <f t="shared" si="25"/>
        <v>3.8000000000000003</v>
      </c>
      <c r="AF68" s="102">
        <f>MROUND(Y68,1)</f>
        <v>441</v>
      </c>
      <c r="AG68" s="135">
        <f>ROUNDUP(Z68,1)</f>
        <v>4</v>
      </c>
      <c r="AH68" s="102">
        <f t="shared" si="47"/>
        <v>424.8</v>
      </c>
      <c r="AI68" s="102">
        <f t="shared" si="47"/>
        <v>3.44</v>
      </c>
      <c r="AJ68" s="101">
        <f t="shared" si="48"/>
        <v>0.96326530612244898</v>
      </c>
      <c r="AK68" s="101">
        <f t="shared" si="48"/>
        <v>0.86</v>
      </c>
      <c r="AL68" s="102">
        <v>531</v>
      </c>
      <c r="AM68" s="135">
        <v>4.3</v>
      </c>
    </row>
    <row r="69" spans="1:39" outlineLevel="1" x14ac:dyDescent="0.3">
      <c r="A69" s="157"/>
      <c r="C69" s="143"/>
      <c r="D69" s="199" t="s">
        <v>9</v>
      </c>
      <c r="E69" s="116">
        <f>VLOOKUP(D69,'[3]Прайс 2022'!D$12:E$99,2,0)</f>
        <v>12</v>
      </c>
      <c r="F69" s="115">
        <f>VLOOKUP(D69,'[3]Прайс 2022'!D$12:G$99,3,0)</f>
        <v>650</v>
      </c>
      <c r="G69" s="114">
        <f>VLOOKUP(D69,'[3]Прайс 2022'!D$12:G$99,4,0)</f>
        <v>126.1</v>
      </c>
      <c r="H69" s="142">
        <f>H54</f>
        <v>3640.6298376</v>
      </c>
      <c r="I69" s="112">
        <f>H69*0.307</f>
        <v>1117.6733601431999</v>
      </c>
      <c r="J69" s="112">
        <f>J54</f>
        <v>2884.0857660104098</v>
      </c>
      <c r="K69" s="112">
        <f>K54</f>
        <v>152.39021235785725</v>
      </c>
      <c r="L69" s="140">
        <f>L54</f>
        <v>2455.9804459999996</v>
      </c>
      <c r="M69" s="139">
        <f>SUM(H69:L69)</f>
        <v>10250.759622111467</v>
      </c>
      <c r="N69" s="141">
        <f>N54</f>
        <v>666.06111955072811</v>
      </c>
      <c r="O69" s="112">
        <f>O54</f>
        <v>958.46400000000006</v>
      </c>
      <c r="P69" s="109">
        <f>(P54)</f>
        <v>8336.5081932203411</v>
      </c>
      <c r="Q69" s="109">
        <f>P69*0.04</f>
        <v>333.46032772881364</v>
      </c>
      <c r="R69" s="140">
        <f>R54</f>
        <v>0</v>
      </c>
      <c r="S69" s="139">
        <f>SUM(N69:R69)</f>
        <v>10294.493640499883</v>
      </c>
      <c r="T69" s="138">
        <f>M69+S69</f>
        <v>20545.25326261135</v>
      </c>
      <c r="U69" s="137">
        <f>((M69*$U$6)+M69)/E69</f>
        <v>862.77226819438181</v>
      </c>
      <c r="V69" s="136">
        <f>((S69*$U$6)+S69)/F69</f>
        <v>15.996059349084435</v>
      </c>
      <c r="W69" s="137">
        <f>((M69*$W$6)+M69)/E69</f>
        <v>896.94146693475341</v>
      </c>
      <c r="X69" s="136">
        <f>((S69*$W$6)+S69)/F69</f>
        <v>16.629566650038274</v>
      </c>
      <c r="Y69" s="137">
        <f>((M69*$Y$6)+M69)/E69</f>
        <v>939.65296536021788</v>
      </c>
      <c r="Z69" s="136">
        <f>((S69*$Y$6)+S69)/F69</f>
        <v>17.421450776230568</v>
      </c>
      <c r="AA69" s="103"/>
      <c r="AB69" s="102">
        <f t="shared" si="22"/>
        <v>863</v>
      </c>
      <c r="AC69" s="135">
        <f t="shared" si="23"/>
        <v>16</v>
      </c>
      <c r="AD69" s="102">
        <f t="shared" si="24"/>
        <v>897</v>
      </c>
      <c r="AE69" s="135">
        <f t="shared" si="25"/>
        <v>16.700000000000003</v>
      </c>
      <c r="AF69" s="102">
        <f>MROUND(Y69,1)</f>
        <v>940</v>
      </c>
      <c r="AG69" s="135">
        <f>ROUNDUP(Z69,1)</f>
        <v>17.5</v>
      </c>
      <c r="AH69" s="102">
        <f t="shared" si="47"/>
        <v>1474.4</v>
      </c>
      <c r="AI69" s="102">
        <f t="shared" si="47"/>
        <v>27.28</v>
      </c>
      <c r="AJ69" s="101">
        <f t="shared" si="48"/>
        <v>1.5685106382978724</v>
      </c>
      <c r="AK69" s="101">
        <f t="shared" si="48"/>
        <v>1.5588571428571429</v>
      </c>
      <c r="AL69" s="102">
        <v>1843</v>
      </c>
      <c r="AM69" s="135">
        <v>34.1</v>
      </c>
    </row>
    <row r="70" spans="1:39" outlineLevel="1" x14ac:dyDescent="0.3">
      <c r="A70" s="157"/>
      <c r="C70" s="143"/>
      <c r="D70" s="199" t="s">
        <v>13</v>
      </c>
      <c r="E70" s="116">
        <v>12</v>
      </c>
      <c r="F70" s="115">
        <v>650</v>
      </c>
      <c r="G70" s="114">
        <f>F70/100*13.7</f>
        <v>89.05</v>
      </c>
      <c r="H70" s="142"/>
      <c r="I70" s="112"/>
      <c r="J70" s="112"/>
      <c r="K70" s="112"/>
      <c r="L70" s="140"/>
      <c r="M70" s="139"/>
      <c r="N70" s="141"/>
      <c r="O70" s="112"/>
      <c r="P70" s="112"/>
      <c r="Q70" s="112"/>
      <c r="R70" s="140"/>
      <c r="S70" s="139"/>
      <c r="T70" s="138"/>
      <c r="U70" s="137"/>
      <c r="V70" s="136"/>
      <c r="W70" s="137"/>
      <c r="X70" s="136"/>
      <c r="Y70" s="137"/>
      <c r="Z70" s="136"/>
      <c r="AA70" s="103"/>
      <c r="AB70" s="102"/>
      <c r="AC70" s="135"/>
      <c r="AD70" s="102"/>
      <c r="AE70" s="135"/>
      <c r="AF70" s="102"/>
      <c r="AG70" s="135"/>
      <c r="AH70" s="102">
        <f t="shared" si="47"/>
        <v>582.4</v>
      </c>
      <c r="AI70" s="102">
        <f t="shared" si="47"/>
        <v>4.7200000000000006</v>
      </c>
      <c r="AJ70" s="101"/>
      <c r="AK70" s="101"/>
      <c r="AL70" s="102">
        <v>728</v>
      </c>
      <c r="AM70" s="135">
        <v>5.9</v>
      </c>
    </row>
    <row r="71" spans="1:39" outlineLevel="1" x14ac:dyDescent="0.3">
      <c r="A71" s="197"/>
      <c r="C71" s="131" t="s">
        <v>439</v>
      </c>
      <c r="D71" s="169"/>
      <c r="E71" s="116"/>
      <c r="F71" s="115"/>
      <c r="G71" s="114"/>
      <c r="H71" s="168"/>
      <c r="I71" s="166"/>
      <c r="J71" s="166"/>
      <c r="K71" s="166"/>
      <c r="L71" s="165"/>
      <c r="M71" s="164"/>
      <c r="N71" s="167"/>
      <c r="O71" s="166"/>
      <c r="P71" s="166"/>
      <c r="Q71" s="166"/>
      <c r="R71" s="165"/>
      <c r="S71" s="164"/>
      <c r="T71" s="163"/>
      <c r="U71" s="162"/>
      <c r="V71" s="161"/>
      <c r="W71" s="162"/>
      <c r="X71" s="161"/>
      <c r="Y71" s="162"/>
      <c r="Z71" s="161"/>
      <c r="AB71" s="159">
        <f t="shared" ref="AB71:AB93" si="49">MROUND(U71,1)</f>
        <v>0</v>
      </c>
      <c r="AC71" s="158">
        <f t="shared" ref="AC71:AC95" si="50">ROUNDUP(V71,1)</f>
        <v>0</v>
      </c>
      <c r="AD71" s="159">
        <f t="shared" ref="AD71:AD93" si="51">MROUND(W71,1)</f>
        <v>0</v>
      </c>
      <c r="AE71" s="158">
        <f t="shared" ref="AE71:AE95" si="52">ROUNDUP(X71,1)</f>
        <v>0</v>
      </c>
      <c r="AF71" s="159"/>
      <c r="AG71" s="158"/>
      <c r="AH71" s="159"/>
      <c r="AI71" s="158"/>
      <c r="AJ71" s="160"/>
      <c r="AK71" s="160"/>
      <c r="AL71" s="159"/>
      <c r="AM71" s="158"/>
    </row>
    <row r="72" spans="1:39" outlineLevel="1" x14ac:dyDescent="0.3">
      <c r="A72" s="157"/>
      <c r="C72" s="143">
        <v>3009</v>
      </c>
      <c r="D72" s="198" t="s">
        <v>327</v>
      </c>
      <c r="E72" s="116">
        <f>IFERROR(VLOOKUP($D72,[1]Тарифы!$D$7:$M$93,8,FALSE),0)</f>
        <v>12</v>
      </c>
      <c r="F72" s="115">
        <f>IFERROR(VLOOKUP($D72,[1]Тарифы!$D$7:$M$93,9,FALSE),0)</f>
        <v>650</v>
      </c>
      <c r="G72" s="114">
        <f>IFERROR(VLOOKUP($D72,[1]Тарифы!$D$7:$M$93,10,FALSE),0)</f>
        <v>258.05</v>
      </c>
      <c r="H72" s="142">
        <f>'[2]Камаз 65115'!F56*1.05*1.2</f>
        <v>4213.3960461599991</v>
      </c>
      <c r="I72" s="112">
        <f t="shared" ref="I72:I77" si="53">H72*0.307</f>
        <v>1293.5125861711197</v>
      </c>
      <c r="J72" s="112">
        <f>'[2]Камаз 65115'!F61</f>
        <v>2673.4736842105262</v>
      </c>
      <c r="K72" s="112">
        <f>'[2]Камаз 65115'!F63</f>
        <v>158.35888286557332</v>
      </c>
      <c r="L72" s="140">
        <f>'[2]Камаз 65115'!F77</f>
        <v>2842.3703485999995</v>
      </c>
      <c r="M72" s="139">
        <f t="shared" ref="M72:M77" si="54">SUM(H72:L72)</f>
        <v>11181.111548007219</v>
      </c>
      <c r="N72" s="141">
        <f>'[2]Камаз 65115'!F27</f>
        <v>3894.8385687310283</v>
      </c>
      <c r="O72" s="112">
        <f>'[2]Камаз 65115'!F29</f>
        <v>1192.1699999999998</v>
      </c>
      <c r="P72" s="109">
        <f>('[2]Камаз 65115'!F40)*1.3</f>
        <v>8840.3556271186444</v>
      </c>
      <c r="Q72" s="109">
        <f t="shared" ref="Q72:Q77" si="55">P72*0.04</f>
        <v>353.61422508474578</v>
      </c>
      <c r="R72" s="140">
        <f>'[2]Камаз 65115'!F53</f>
        <v>0</v>
      </c>
      <c r="S72" s="139">
        <f>SUM(N72:R72)</f>
        <v>14280.97842093442</v>
      </c>
      <c r="T72" s="138">
        <f t="shared" ref="T72:T77" si="56">M72+S72</f>
        <v>25462.08996894164</v>
      </c>
      <c r="U72" s="137">
        <f t="shared" ref="U72:U77" si="57">((M72*$U$6)+M72)/E72</f>
        <v>941.07688862394082</v>
      </c>
      <c r="V72" s="136">
        <f t="shared" ref="V72:V77" si="58">((S72*$U$6)+S72)/F72</f>
        <v>22.19044339252887</v>
      </c>
      <c r="W72" s="137">
        <f t="shared" ref="W72:W77" si="59">((M72*$W$6)+M72)/E72</f>
        <v>978.34726045063155</v>
      </c>
      <c r="X72" s="136">
        <f t="shared" ref="X72:X77" si="60">((S72*$W$6)+S72)/F72</f>
        <v>23.069272833817138</v>
      </c>
      <c r="Y72" s="137">
        <f t="shared" ref="Y72:Y77" si="61">((M72*$Y$6)+M72)/E72</f>
        <v>1024.935225233995</v>
      </c>
      <c r="Z72" s="136">
        <f t="shared" ref="Z72:Z77" si="62">((S72*$Y$6)+S72)/F72</f>
        <v>24.167809635427481</v>
      </c>
      <c r="AA72" s="103"/>
      <c r="AB72" s="102">
        <f t="shared" si="49"/>
        <v>941</v>
      </c>
      <c r="AC72" s="135">
        <f t="shared" si="50"/>
        <v>22.200000000000003</v>
      </c>
      <c r="AD72" s="102">
        <f t="shared" si="51"/>
        <v>978</v>
      </c>
      <c r="AE72" s="135">
        <f t="shared" si="52"/>
        <v>23.1</v>
      </c>
      <c r="AF72" s="102">
        <f t="shared" ref="AF72:AF77" si="63">MROUND(Y72,1)</f>
        <v>1025</v>
      </c>
      <c r="AG72" s="135">
        <f t="shared" ref="AG72:AG77" si="64">ROUNDUP(Z72,1)</f>
        <v>24.200000000000003</v>
      </c>
      <c r="AH72" s="102">
        <f t="shared" ref="AH72:AI77" si="65">AL72*0.8</f>
        <v>924</v>
      </c>
      <c r="AI72" s="102">
        <f t="shared" si="65"/>
        <v>23.040000000000003</v>
      </c>
      <c r="AJ72" s="101">
        <f t="shared" ref="AJ72:AK77" si="66">AH72/AF72</f>
        <v>0.90146341463414636</v>
      </c>
      <c r="AK72" s="101">
        <f t="shared" si="66"/>
        <v>0.95206611570247934</v>
      </c>
      <c r="AL72" s="102">
        <v>1155</v>
      </c>
      <c r="AM72" s="135">
        <v>28.8</v>
      </c>
    </row>
    <row r="73" spans="1:39" outlineLevel="1" x14ac:dyDescent="0.3">
      <c r="C73" s="143">
        <v>3009</v>
      </c>
      <c r="D73" s="116" t="s">
        <v>334</v>
      </c>
      <c r="E73" s="116">
        <f>IFERROR(VLOOKUP($D73,[1]Тарифы!$D$7:$M$93,8,FALSE),0)</f>
        <v>12</v>
      </c>
      <c r="F73" s="115">
        <f>IFERROR(VLOOKUP($D73,[1]Тарифы!$D$7:$M$93,9,FALSE),0)</f>
        <v>650</v>
      </c>
      <c r="G73" s="114">
        <f>IFERROR(VLOOKUP($D73,[1]Тарифы!$D$7:$M$93,10,FALSE),0)</f>
        <v>227.5</v>
      </c>
      <c r="H73" s="142">
        <f>[2]МАЗ5516W4!$F56*1.05*1.2</f>
        <v>4213.3960461599991</v>
      </c>
      <c r="I73" s="112">
        <f t="shared" si="53"/>
        <v>1293.5125861711197</v>
      </c>
      <c r="J73" s="112">
        <f>[2]МАЗ5516W4!$F61</f>
        <v>2627.9411231884055</v>
      </c>
      <c r="K73" s="112">
        <f>[2]МАЗ5516W4!$F63</f>
        <v>127.27261171497584</v>
      </c>
      <c r="L73" s="140">
        <f>[2]МАЗ5516W4!$F77</f>
        <v>2842.3703485999995</v>
      </c>
      <c r="M73" s="139">
        <f t="shared" si="54"/>
        <v>11104.4927158345</v>
      </c>
      <c r="N73" s="141">
        <f>[2]МАЗ5516W4!$F27</f>
        <v>3894.8385687310283</v>
      </c>
      <c r="O73" s="112">
        <f>[2]МАЗ5516W4!$F29</f>
        <v>558.86007272727272</v>
      </c>
      <c r="P73" s="109">
        <f>([2]МАЗ5516W4!$F40)*1.3</f>
        <v>7793.7644067796609</v>
      </c>
      <c r="Q73" s="109">
        <f t="shared" si="55"/>
        <v>311.75057627118645</v>
      </c>
      <c r="R73" s="140">
        <f>[2]МАЗ5516W4!$F53</f>
        <v>139.13197003193318</v>
      </c>
      <c r="S73" s="139">
        <f>SUM(N73:R73)</f>
        <v>12698.345594541081</v>
      </c>
      <c r="T73" s="138">
        <f t="shared" si="56"/>
        <v>23802.83831037558</v>
      </c>
      <c r="U73" s="137">
        <f t="shared" si="57"/>
        <v>934.6281369160705</v>
      </c>
      <c r="V73" s="136">
        <f t="shared" si="58"/>
        <v>19.731275462286909</v>
      </c>
      <c r="W73" s="137">
        <f t="shared" si="59"/>
        <v>971.64311263551872</v>
      </c>
      <c r="X73" s="136">
        <f t="shared" si="60"/>
        <v>20.512712114258669</v>
      </c>
      <c r="Y73" s="137">
        <f t="shared" si="61"/>
        <v>1017.9118322848291</v>
      </c>
      <c r="Z73" s="136">
        <f t="shared" si="62"/>
        <v>21.489507929223368</v>
      </c>
      <c r="AA73" s="103"/>
      <c r="AB73" s="102">
        <f t="shared" si="49"/>
        <v>935</v>
      </c>
      <c r="AC73" s="135">
        <f t="shared" si="50"/>
        <v>19.8</v>
      </c>
      <c r="AD73" s="102">
        <f t="shared" si="51"/>
        <v>972</v>
      </c>
      <c r="AE73" s="135">
        <f t="shared" si="52"/>
        <v>20.6</v>
      </c>
      <c r="AF73" s="102">
        <f t="shared" si="63"/>
        <v>1018</v>
      </c>
      <c r="AG73" s="135">
        <f t="shared" si="64"/>
        <v>21.5</v>
      </c>
      <c r="AH73" s="102">
        <f t="shared" si="65"/>
        <v>793.6</v>
      </c>
      <c r="AI73" s="102">
        <f t="shared" si="65"/>
        <v>17.760000000000002</v>
      </c>
      <c r="AJ73" s="101">
        <f t="shared" si="66"/>
        <v>0.77956777996070725</v>
      </c>
      <c r="AK73" s="101">
        <f t="shared" si="66"/>
        <v>0.8260465116279071</v>
      </c>
      <c r="AL73" s="102">
        <v>992</v>
      </c>
      <c r="AM73" s="135">
        <v>22.2</v>
      </c>
    </row>
    <row r="74" spans="1:39" outlineLevel="1" x14ac:dyDescent="0.3">
      <c r="C74" s="143">
        <v>3009</v>
      </c>
      <c r="D74" s="116" t="s">
        <v>438</v>
      </c>
      <c r="E74" s="116">
        <f>VLOOKUP(D74,'[3]Прайс 2022'!D$12:E$99,2,0)</f>
        <v>12</v>
      </c>
      <c r="F74" s="115">
        <f>VLOOKUP(D74,'[3]Прайс 2022'!D$12:G$99,3,0)</f>
        <v>650</v>
      </c>
      <c r="G74" s="114">
        <f>VLOOKUP(D74,'[3]Прайс 2022'!D$12:G$99,4,0)</f>
        <v>260</v>
      </c>
      <c r="H74" s="142">
        <f>H75*1.05</f>
        <v>4424.0658484679989</v>
      </c>
      <c r="I74" s="112">
        <f t="shared" si="53"/>
        <v>1358.1882154796756</v>
      </c>
      <c r="J74" s="112">
        <f>J75</f>
        <v>2861.3555555555554</v>
      </c>
      <c r="K74" s="112">
        <f>K75</f>
        <v>224.62240000000003</v>
      </c>
      <c r="L74" s="140">
        <f>L75</f>
        <v>2842.3703485999995</v>
      </c>
      <c r="M74" s="139">
        <f t="shared" si="54"/>
        <v>11710.602368103229</v>
      </c>
      <c r="N74" s="141">
        <f>N75</f>
        <v>3894.8385687310283</v>
      </c>
      <c r="O74" s="112">
        <f>O75</f>
        <v>1040</v>
      </c>
      <c r="P74" s="109">
        <f>(P75)</f>
        <v>8907.1593220338982</v>
      </c>
      <c r="Q74" s="109">
        <f t="shared" si="55"/>
        <v>356.28637288135593</v>
      </c>
      <c r="R74" s="140">
        <f>R75</f>
        <v>141.24293785310735</v>
      </c>
      <c r="S74" s="139">
        <f>SUM(N74:R74)</f>
        <v>14339.52720149939</v>
      </c>
      <c r="T74" s="138">
        <f t="shared" si="56"/>
        <v>26050.129569602621</v>
      </c>
      <c r="U74" s="137">
        <f t="shared" si="57"/>
        <v>985.64236598202172</v>
      </c>
      <c r="V74" s="136">
        <f t="shared" si="58"/>
        <v>22.281419190022127</v>
      </c>
      <c r="W74" s="137">
        <f t="shared" si="59"/>
        <v>1024.6777072090326</v>
      </c>
      <c r="X74" s="136">
        <f t="shared" si="60"/>
        <v>23.163851633191324</v>
      </c>
      <c r="Y74" s="137">
        <f t="shared" si="61"/>
        <v>1073.4718837427961</v>
      </c>
      <c r="Z74" s="136">
        <f t="shared" si="62"/>
        <v>24.266892187152813</v>
      </c>
      <c r="AA74" s="103"/>
      <c r="AB74" s="102">
        <f t="shared" si="49"/>
        <v>986</v>
      </c>
      <c r="AC74" s="135">
        <f t="shared" si="50"/>
        <v>22.3</v>
      </c>
      <c r="AD74" s="102">
        <f t="shared" si="51"/>
        <v>1025</v>
      </c>
      <c r="AE74" s="135">
        <f t="shared" si="52"/>
        <v>23.200000000000003</v>
      </c>
      <c r="AF74" s="102">
        <f t="shared" si="63"/>
        <v>1073</v>
      </c>
      <c r="AG74" s="135">
        <f t="shared" si="64"/>
        <v>24.3</v>
      </c>
      <c r="AH74" s="102">
        <f t="shared" si="65"/>
        <v>952</v>
      </c>
      <c r="AI74" s="102">
        <f t="shared" si="65"/>
        <v>23.12</v>
      </c>
      <c r="AJ74" s="101">
        <f t="shared" si="66"/>
        <v>0.88723205964585272</v>
      </c>
      <c r="AK74" s="101">
        <f t="shared" si="66"/>
        <v>0.95144032921810706</v>
      </c>
      <c r="AL74" s="102">
        <v>1190</v>
      </c>
      <c r="AM74" s="135">
        <v>28.9</v>
      </c>
    </row>
    <row r="75" spans="1:39" outlineLevel="1" x14ac:dyDescent="0.3">
      <c r="C75" s="143">
        <v>3009</v>
      </c>
      <c r="D75" s="116" t="s">
        <v>437</v>
      </c>
      <c r="E75" s="116">
        <f>IFERROR(VLOOKUP($D75,[1]Тарифы!$D$7:$M$93,8,FALSE),0)</f>
        <v>12</v>
      </c>
      <c r="F75" s="115">
        <f>IFERROR(VLOOKUP($D75,[1]Тарифы!$D$7:$M$93,9,FALSE),0)</f>
        <v>650</v>
      </c>
      <c r="G75" s="114">
        <f>IFERROR(VLOOKUP($D75,[1]Тарифы!$D$7:$M$93,10,FALSE),0)</f>
        <v>260</v>
      </c>
      <c r="H75" s="142">
        <f>[2]МАЗ6312А9!F56*1.05*1.2</f>
        <v>4213.3960461599991</v>
      </c>
      <c r="I75" s="112">
        <f t="shared" si="53"/>
        <v>1293.5125861711197</v>
      </c>
      <c r="J75" s="112">
        <f>[2]МАЗ6312А9!$F61</f>
        <v>2861.3555555555554</v>
      </c>
      <c r="K75" s="112">
        <f>[2]МАЗ6312А9!$F63</f>
        <v>224.62240000000003</v>
      </c>
      <c r="L75" s="140">
        <f>[2]МАЗ6312А9!$F77</f>
        <v>2842.3703485999995</v>
      </c>
      <c r="M75" s="139">
        <f t="shared" si="54"/>
        <v>11435.256936486674</v>
      </c>
      <c r="N75" s="141">
        <f>[2]МАЗ6312А9!$F27</f>
        <v>3894.8385687310283</v>
      </c>
      <c r="O75" s="112">
        <f>[2]МАЗ6312А9!$F29</f>
        <v>1040</v>
      </c>
      <c r="P75" s="109">
        <f>([2]МАЗ6312А9!$F40)*1.3</f>
        <v>8907.1593220338982</v>
      </c>
      <c r="Q75" s="109">
        <f t="shared" si="55"/>
        <v>356.28637288135593</v>
      </c>
      <c r="R75" s="140">
        <f>[2]МАЗ6312А9!$F53</f>
        <v>141.24293785310735</v>
      </c>
      <c r="S75" s="139">
        <f>SUM(N75:R75)</f>
        <v>14339.52720149939</v>
      </c>
      <c r="T75" s="138">
        <f t="shared" si="56"/>
        <v>25774.784137986062</v>
      </c>
      <c r="U75" s="137">
        <f t="shared" si="57"/>
        <v>962.46745882096172</v>
      </c>
      <c r="V75" s="136">
        <f t="shared" si="58"/>
        <v>22.281419190022127</v>
      </c>
      <c r="W75" s="137">
        <f t="shared" si="59"/>
        <v>1000.5849819425839</v>
      </c>
      <c r="X75" s="136">
        <f t="shared" si="60"/>
        <v>23.163851633191324</v>
      </c>
      <c r="Y75" s="137">
        <f t="shared" si="61"/>
        <v>1048.2318858446117</v>
      </c>
      <c r="Z75" s="136">
        <f t="shared" si="62"/>
        <v>24.266892187152813</v>
      </c>
      <c r="AA75" s="103"/>
      <c r="AB75" s="102">
        <f t="shared" si="49"/>
        <v>962</v>
      </c>
      <c r="AC75" s="135">
        <f t="shared" si="50"/>
        <v>22.3</v>
      </c>
      <c r="AD75" s="102">
        <f t="shared" si="51"/>
        <v>1001</v>
      </c>
      <c r="AE75" s="135">
        <f t="shared" si="52"/>
        <v>23.200000000000003</v>
      </c>
      <c r="AF75" s="102">
        <f t="shared" si="63"/>
        <v>1048</v>
      </c>
      <c r="AG75" s="135">
        <f t="shared" si="64"/>
        <v>24.3</v>
      </c>
      <c r="AH75" s="102">
        <f t="shared" si="65"/>
        <v>952</v>
      </c>
      <c r="AI75" s="102">
        <f t="shared" si="65"/>
        <v>23.12</v>
      </c>
      <c r="AJ75" s="101">
        <f t="shared" si="66"/>
        <v>0.90839694656488545</v>
      </c>
      <c r="AK75" s="101">
        <f t="shared" si="66"/>
        <v>0.95144032921810706</v>
      </c>
      <c r="AL75" s="102">
        <v>1190</v>
      </c>
      <c r="AM75" s="135">
        <v>28.9</v>
      </c>
    </row>
    <row r="76" spans="1:39" outlineLevel="1" x14ac:dyDescent="0.3">
      <c r="C76" s="143">
        <v>3009</v>
      </c>
      <c r="D76" s="116" t="s">
        <v>422</v>
      </c>
      <c r="E76" s="116">
        <f>VLOOKUP(D76,'[3]Прайс 2022'!D$12:E$99,2,0)</f>
        <v>12</v>
      </c>
      <c r="F76" s="115">
        <f>VLOOKUP(D76,'[3]Прайс 2022'!D$12:G$99,3,0)</f>
        <v>650</v>
      </c>
      <c r="G76" s="114">
        <f>VLOOKUP(D76,'[3]Прайс 2022'!D$12:G$99,4,0)</f>
        <v>258.05</v>
      </c>
      <c r="H76" s="142">
        <f>H75</f>
        <v>4213.3960461599991</v>
      </c>
      <c r="I76" s="112">
        <f t="shared" si="53"/>
        <v>1293.5125861711197</v>
      </c>
      <c r="J76" s="112">
        <v>2673.4736842105262</v>
      </c>
      <c r="K76" s="112">
        <f>K75</f>
        <v>224.62240000000003</v>
      </c>
      <c r="L76" s="140">
        <f>L75</f>
        <v>2842.3703485999995</v>
      </c>
      <c r="M76" s="139">
        <f t="shared" si="54"/>
        <v>11247.375065141645</v>
      </c>
      <c r="N76" s="141">
        <f t="shared" ref="N76:P77" si="67">N75</f>
        <v>3894.8385687310283</v>
      </c>
      <c r="O76" s="112">
        <f t="shared" si="67"/>
        <v>1040</v>
      </c>
      <c r="P76" s="109">
        <f t="shared" si="67"/>
        <v>8907.1593220338982</v>
      </c>
      <c r="Q76" s="109">
        <f t="shared" si="55"/>
        <v>356.28637288135593</v>
      </c>
      <c r="R76" s="140">
        <f>R75</f>
        <v>141.24293785310735</v>
      </c>
      <c r="S76" s="139">
        <v>11061.789169949552</v>
      </c>
      <c r="T76" s="138">
        <f t="shared" si="56"/>
        <v>22309.164235091197</v>
      </c>
      <c r="U76" s="137">
        <f t="shared" si="57"/>
        <v>946.65406798275501</v>
      </c>
      <c r="V76" s="136">
        <f t="shared" si="58"/>
        <v>17.188318556383152</v>
      </c>
      <c r="W76" s="137">
        <f t="shared" si="59"/>
        <v>984.14531819989395</v>
      </c>
      <c r="X76" s="136">
        <f t="shared" si="60"/>
        <v>17.86904404376466</v>
      </c>
      <c r="Y76" s="137">
        <f t="shared" si="61"/>
        <v>1031.0093809713173</v>
      </c>
      <c r="Z76" s="136">
        <f t="shared" si="62"/>
        <v>18.719950902991549</v>
      </c>
      <c r="AA76" s="103"/>
      <c r="AB76" s="102">
        <f t="shared" si="49"/>
        <v>947</v>
      </c>
      <c r="AC76" s="135">
        <f t="shared" si="50"/>
        <v>17.200000000000003</v>
      </c>
      <c r="AD76" s="102">
        <f t="shared" si="51"/>
        <v>984</v>
      </c>
      <c r="AE76" s="135">
        <f t="shared" si="52"/>
        <v>17.900000000000002</v>
      </c>
      <c r="AF76" s="102">
        <f t="shared" si="63"/>
        <v>1031</v>
      </c>
      <c r="AG76" s="135">
        <f t="shared" si="64"/>
        <v>18.8</v>
      </c>
      <c r="AH76" s="102">
        <f t="shared" si="65"/>
        <v>924</v>
      </c>
      <c r="AI76" s="102">
        <f t="shared" si="65"/>
        <v>23.040000000000003</v>
      </c>
      <c r="AJ76" s="101">
        <f t="shared" si="66"/>
        <v>0.89621726479146457</v>
      </c>
      <c r="AK76" s="101">
        <f t="shared" si="66"/>
        <v>1.225531914893617</v>
      </c>
      <c r="AL76" s="102">
        <v>1155</v>
      </c>
      <c r="AM76" s="135">
        <v>28.8</v>
      </c>
    </row>
    <row r="77" spans="1:39" outlineLevel="1" x14ac:dyDescent="0.3">
      <c r="C77" s="143">
        <v>3009</v>
      </c>
      <c r="D77" s="116" t="s">
        <v>10</v>
      </c>
      <c r="E77" s="116">
        <f>VLOOKUP(D77,'[3]Прайс 2022'!D$12:E$99,2,0)</f>
        <v>12</v>
      </c>
      <c r="F77" s="115">
        <f>VLOOKUP(D77,'[3]Прайс 2022'!D$12:G$99,3,0)</f>
        <v>650</v>
      </c>
      <c r="G77" s="114">
        <f>VLOOKUP(D77,'[3]Прайс 2022'!D$12:G$99,4,0)</f>
        <v>260</v>
      </c>
      <c r="H77" s="142">
        <f>H76</f>
        <v>4213.3960461599991</v>
      </c>
      <c r="I77" s="112">
        <f t="shared" si="53"/>
        <v>1293.5125861711197</v>
      </c>
      <c r="J77" s="112">
        <v>2861.3555555555554</v>
      </c>
      <c r="K77" s="112">
        <f>K76</f>
        <v>224.62240000000003</v>
      </c>
      <c r="L77" s="140">
        <f>L75</f>
        <v>2842.3703485999995</v>
      </c>
      <c r="M77" s="139">
        <f t="shared" si="54"/>
        <v>11435.256936486674</v>
      </c>
      <c r="N77" s="141">
        <f t="shared" si="67"/>
        <v>3894.8385687310283</v>
      </c>
      <c r="O77" s="112">
        <f t="shared" si="67"/>
        <v>1040</v>
      </c>
      <c r="P77" s="109">
        <f t="shared" si="67"/>
        <v>8907.1593220338982</v>
      </c>
      <c r="Q77" s="109">
        <f t="shared" si="55"/>
        <v>356.28637288135593</v>
      </c>
      <c r="R77" s="140">
        <f>R75</f>
        <v>141.24293785310735</v>
      </c>
      <c r="S77" s="139">
        <v>11101.418142830909</v>
      </c>
      <c r="T77" s="138">
        <f t="shared" si="56"/>
        <v>22536.675079317582</v>
      </c>
      <c r="U77" s="137">
        <f t="shared" si="57"/>
        <v>962.46745882096172</v>
      </c>
      <c r="V77" s="136">
        <f t="shared" si="58"/>
        <v>17.24989588347572</v>
      </c>
      <c r="W77" s="137">
        <f t="shared" si="59"/>
        <v>1000.5849819425839</v>
      </c>
      <c r="X77" s="136">
        <f t="shared" si="60"/>
        <v>17.9330600768807</v>
      </c>
      <c r="Y77" s="137">
        <f t="shared" si="61"/>
        <v>1048.2318858446117</v>
      </c>
      <c r="Z77" s="136">
        <f t="shared" si="62"/>
        <v>18.787015318636925</v>
      </c>
      <c r="AA77" s="103"/>
      <c r="AB77" s="102">
        <f t="shared" si="49"/>
        <v>962</v>
      </c>
      <c r="AC77" s="135">
        <f t="shared" si="50"/>
        <v>17.3</v>
      </c>
      <c r="AD77" s="102">
        <f t="shared" si="51"/>
        <v>1001</v>
      </c>
      <c r="AE77" s="135">
        <f t="shared" si="52"/>
        <v>18</v>
      </c>
      <c r="AF77" s="102">
        <f t="shared" si="63"/>
        <v>1048</v>
      </c>
      <c r="AG77" s="135">
        <f t="shared" si="64"/>
        <v>18.8</v>
      </c>
      <c r="AH77" s="102">
        <f t="shared" si="65"/>
        <v>952</v>
      </c>
      <c r="AI77" s="102">
        <f t="shared" si="65"/>
        <v>23.12</v>
      </c>
      <c r="AJ77" s="101">
        <f t="shared" si="66"/>
        <v>0.90839694656488545</v>
      </c>
      <c r="AK77" s="101">
        <f t="shared" si="66"/>
        <v>1.2297872340425533</v>
      </c>
      <c r="AL77" s="102">
        <v>1190</v>
      </c>
      <c r="AM77" s="135">
        <v>28.9</v>
      </c>
    </row>
    <row r="78" spans="1:39" x14ac:dyDescent="0.3">
      <c r="A78" s="197"/>
      <c r="C78" s="131" t="s">
        <v>51</v>
      </c>
      <c r="D78" s="169"/>
      <c r="E78" s="116"/>
      <c r="F78" s="115"/>
      <c r="G78" s="114"/>
      <c r="H78" s="168"/>
      <c r="I78" s="166"/>
      <c r="J78" s="166"/>
      <c r="K78" s="166"/>
      <c r="L78" s="165"/>
      <c r="M78" s="164"/>
      <c r="N78" s="167"/>
      <c r="O78" s="166"/>
      <c r="P78" s="166"/>
      <c r="Q78" s="166"/>
      <c r="R78" s="165"/>
      <c r="S78" s="164"/>
      <c r="T78" s="163"/>
      <c r="U78" s="162"/>
      <c r="V78" s="161"/>
      <c r="W78" s="162"/>
      <c r="X78" s="161"/>
      <c r="Y78" s="162"/>
      <c r="Z78" s="161"/>
      <c r="AB78" s="159">
        <f t="shared" si="49"/>
        <v>0</v>
      </c>
      <c r="AC78" s="158">
        <f t="shared" si="50"/>
        <v>0</v>
      </c>
      <c r="AD78" s="159">
        <f t="shared" si="51"/>
        <v>0</v>
      </c>
      <c r="AE78" s="158">
        <f t="shared" si="52"/>
        <v>0</v>
      </c>
      <c r="AF78" s="159"/>
      <c r="AG78" s="158"/>
      <c r="AH78" s="159"/>
      <c r="AI78" s="158"/>
      <c r="AJ78" s="160"/>
      <c r="AK78" s="160"/>
      <c r="AL78" s="159"/>
      <c r="AM78" s="158"/>
    </row>
    <row r="79" spans="1:39" outlineLevel="1" x14ac:dyDescent="0.3">
      <c r="A79" s="157"/>
      <c r="C79" s="143">
        <v>3007</v>
      </c>
      <c r="D79" s="116" t="s">
        <v>7</v>
      </c>
      <c r="E79" s="116">
        <f>VLOOKUP(D79,'[3]Прайс 2022'!D$12:E$99,2,0)</f>
        <v>12</v>
      </c>
      <c r="F79" s="115">
        <f>VLOOKUP(D79,'[3]Прайс 2022'!D$12:G$99,3,0)</f>
        <v>650</v>
      </c>
      <c r="G79" s="114">
        <f>F79/100*18</f>
        <v>117</v>
      </c>
      <c r="H79" s="142">
        <f>H82</f>
        <v>4166.503797171933</v>
      </c>
      <c r="I79" s="112">
        <f>H79*0.307</f>
        <v>1279.1166657317833</v>
      </c>
      <c r="J79" s="112">
        <f>J82</f>
        <v>3702.6134394026931</v>
      </c>
      <c r="K79" s="112">
        <f>K82</f>
        <v>216.26611558004828</v>
      </c>
      <c r="L79" s="140">
        <f>L82</f>
        <v>2810.7366885683709</v>
      </c>
      <c r="M79" s="139">
        <f>SUM(H79:L79)</f>
        <v>12175.236706454829</v>
      </c>
      <c r="N79" s="141">
        <f>N82</f>
        <v>1894.1434561207118</v>
      </c>
      <c r="O79" s="112">
        <f>O82</f>
        <v>1357.7977337261505</v>
      </c>
      <c r="P79" s="109">
        <f>(P82)</f>
        <v>7415.21013559322</v>
      </c>
      <c r="Q79" s="109">
        <f>P79*0.04</f>
        <v>296.60840542372881</v>
      </c>
      <c r="R79" s="140">
        <f>R82</f>
        <v>327.66905275019792</v>
      </c>
      <c r="S79" s="139">
        <f>SUM(N79:R79)</f>
        <v>11291.428783614008</v>
      </c>
      <c r="T79" s="138">
        <f>M79+S79</f>
        <v>23466.665490068837</v>
      </c>
      <c r="U79" s="137">
        <f>((M79*$U$6)+M79)/E79</f>
        <v>1024.749089459948</v>
      </c>
      <c r="V79" s="136">
        <f>((S79*$U$6)+S79)/F79</f>
        <v>17.545143186846381</v>
      </c>
      <c r="W79" s="137">
        <f>((M79*$W$6)+M79)/E79</f>
        <v>1065.3332118147976</v>
      </c>
      <c r="X79" s="136">
        <f>((S79*$W$6)+S79)/F79</f>
        <v>18.240000342761089</v>
      </c>
      <c r="Y79" s="137">
        <f>((M79*$Y$6)+M79)/E79</f>
        <v>1116.0633647583593</v>
      </c>
      <c r="Z79" s="136">
        <f>((S79*$Y$6)+S79)/F79</f>
        <v>19.108571787654476</v>
      </c>
      <c r="AA79" s="103"/>
      <c r="AB79" s="102">
        <f t="shared" si="49"/>
        <v>1025</v>
      </c>
      <c r="AC79" s="135">
        <f t="shared" si="50"/>
        <v>17.600000000000001</v>
      </c>
      <c r="AD79" s="102">
        <f t="shared" si="51"/>
        <v>1065</v>
      </c>
      <c r="AE79" s="135">
        <f t="shared" si="52"/>
        <v>18.3</v>
      </c>
      <c r="AF79" s="102">
        <f>MROUND(Y79,1)</f>
        <v>1116</v>
      </c>
      <c r="AG79" s="135">
        <f>ROUNDUP(Z79,1)</f>
        <v>19.200000000000003</v>
      </c>
      <c r="AH79" s="102">
        <f t="shared" ref="AH79:AI82" si="68">AL79*0.8</f>
        <v>1235.2</v>
      </c>
      <c r="AI79" s="102">
        <f t="shared" si="68"/>
        <v>19.680000000000003</v>
      </c>
      <c r="AJ79" s="101">
        <f t="shared" ref="AJ79:AK82" si="69">AH79/AF79</f>
        <v>1.1068100358422939</v>
      </c>
      <c r="AK79" s="101">
        <f t="shared" si="69"/>
        <v>1.0249999999999999</v>
      </c>
      <c r="AL79" s="102">
        <v>1544</v>
      </c>
      <c r="AM79" s="135">
        <v>24.6</v>
      </c>
    </row>
    <row r="80" spans="1:39" x14ac:dyDescent="0.3">
      <c r="A80" s="157"/>
      <c r="C80" s="143">
        <v>3007</v>
      </c>
      <c r="D80" s="116" t="s">
        <v>436</v>
      </c>
      <c r="E80" s="116">
        <f>VLOOKUP(D80,'[3]Прайс 2022'!D$12:E$99,2,0)</f>
        <v>12</v>
      </c>
      <c r="F80" s="115">
        <f>VLOOKUP(D80,'[3]Прайс 2022'!D$12:G$99,3,0)</f>
        <v>650</v>
      </c>
      <c r="G80" s="114">
        <f>F80/100*18</f>
        <v>117</v>
      </c>
      <c r="H80" s="142">
        <f>[2]МАЗ6422А8!$F56*1.05*1.2</f>
        <v>4892.8002807600005</v>
      </c>
      <c r="I80" s="112">
        <f>H80*0.307</f>
        <v>1502.0896861933202</v>
      </c>
      <c r="J80" s="112">
        <f>[2]МАЗ6422А8!$F61</f>
        <v>1075.6389468622122</v>
      </c>
      <c r="K80" s="112">
        <f>[2]МАЗ6422А8!$F63</f>
        <v>66.382672811059905</v>
      </c>
      <c r="L80" s="140">
        <f>[2]МАЗ6422А8!$F77</f>
        <v>3300.6986021000002</v>
      </c>
      <c r="M80" s="139">
        <f>SUM(H80:L80)</f>
        <v>10837.610188726592</v>
      </c>
      <c r="N80" s="141">
        <f>[2]МАЗ6422А8!$F27</f>
        <v>2462.3864929569254</v>
      </c>
      <c r="O80" s="112">
        <f>[2]МАЗ6422А8!$F29</f>
        <v>1453.7501120731122</v>
      </c>
      <c r="P80" s="109">
        <f>([2]МАЗ6422А8!$F40)*1.3</f>
        <v>8461.8013559322044</v>
      </c>
      <c r="Q80" s="109">
        <f>P80*0.04</f>
        <v>338.47205423728821</v>
      </c>
      <c r="R80" s="140">
        <f>[2]МАЗ6422А8!$F53</f>
        <v>0</v>
      </c>
      <c r="S80" s="139">
        <f>SUM(N80:R80)</f>
        <v>12716.41001519953</v>
      </c>
      <c r="T80" s="138">
        <f>M80+S80</f>
        <v>23554.02020392612</v>
      </c>
      <c r="U80" s="137">
        <f>((M80*$U$6)+M80)/E80</f>
        <v>912.1655242178216</v>
      </c>
      <c r="V80" s="136">
        <f>((S80*$U$6)+S80)/F80</f>
        <v>19.759344792848498</v>
      </c>
      <c r="W80" s="137">
        <f>((M80*$W$6)+M80)/E80</f>
        <v>948.29089151357675</v>
      </c>
      <c r="X80" s="136">
        <f>((S80*$W$6)+S80)/F80</f>
        <v>20.541893101476166</v>
      </c>
      <c r="Y80" s="137">
        <f>((M80*$Y$6)+M80)/E80</f>
        <v>993.44760063327101</v>
      </c>
      <c r="Z80" s="136">
        <f>((S80*$Y$6)+S80)/F80</f>
        <v>21.520078487260744</v>
      </c>
      <c r="AA80" s="103"/>
      <c r="AB80" s="102">
        <f t="shared" si="49"/>
        <v>912</v>
      </c>
      <c r="AC80" s="135">
        <f t="shared" si="50"/>
        <v>19.8</v>
      </c>
      <c r="AD80" s="102">
        <f t="shared" si="51"/>
        <v>948</v>
      </c>
      <c r="AE80" s="135">
        <f t="shared" si="52"/>
        <v>20.6</v>
      </c>
      <c r="AF80" s="102">
        <f>MROUND(Y80,1)</f>
        <v>993</v>
      </c>
      <c r="AG80" s="135">
        <f>ROUNDUP(Z80,1)</f>
        <v>21.6</v>
      </c>
      <c r="AH80" s="102">
        <f t="shared" si="68"/>
        <v>1235.2</v>
      </c>
      <c r="AI80" s="102">
        <f t="shared" si="68"/>
        <v>19.680000000000003</v>
      </c>
      <c r="AJ80" s="101">
        <f t="shared" si="69"/>
        <v>1.2439073514602217</v>
      </c>
      <c r="AK80" s="101">
        <f t="shared" si="69"/>
        <v>0.9111111111111112</v>
      </c>
      <c r="AL80" s="102">
        <v>1544</v>
      </c>
      <c r="AM80" s="135">
        <v>24.6</v>
      </c>
    </row>
    <row r="81" spans="1:39" outlineLevel="1" x14ac:dyDescent="0.3">
      <c r="C81" s="143">
        <v>3007</v>
      </c>
      <c r="D81" s="116" t="s">
        <v>425</v>
      </c>
      <c r="E81" s="116">
        <f>IFERROR(VLOOKUP($D81,[1]Тарифы!$D$7:$M$93,8,FALSE),0)</f>
        <v>12</v>
      </c>
      <c r="F81" s="115">
        <f>IFERROR(VLOOKUP($D81,[1]Тарифы!$D$7:$M$93,9,FALSE),0)</f>
        <v>650</v>
      </c>
      <c r="G81" s="114">
        <f>IFERROR(VLOOKUP($D81,[1]Тарифы!$D$7:$M$93,10,FALSE),0)</f>
        <v>216.45</v>
      </c>
      <c r="H81" s="142">
        <f>[2]МАЗ6430В9!$F56*1.05*1.2</f>
        <v>5418.6742403319386</v>
      </c>
      <c r="I81" s="112">
        <f>H81*0.307</f>
        <v>1663.5329917819051</v>
      </c>
      <c r="J81" s="112">
        <f>[2]МАЗ6430В9!$F61</f>
        <v>3702.6134394026931</v>
      </c>
      <c r="K81" s="112">
        <f>[2]МАЗ6430В9!$F63</f>
        <v>217.12533665170434</v>
      </c>
      <c r="L81" s="140">
        <f>[2]МАЗ6430В9!$F77</f>
        <v>3655.4548446683712</v>
      </c>
      <c r="M81" s="139">
        <f>SUM(H81:L81)</f>
        <v>14657.400852836612</v>
      </c>
      <c r="N81" s="141">
        <f>[2]МАЗ6430В9!$F27</f>
        <v>2462.3864929569254</v>
      </c>
      <c r="O81" s="112">
        <f>[2]МАЗ6430В9!$F29</f>
        <v>1513.0366428170594</v>
      </c>
      <c r="P81" s="109">
        <f>([2]МАЗ6430В9!$F40)*1.3</f>
        <v>7415.21013559322</v>
      </c>
      <c r="Q81" s="109">
        <f>P81*0.04</f>
        <v>296.60840542372881</v>
      </c>
      <c r="R81" s="140">
        <f>[2]МАЗ6430В9!$F53</f>
        <v>511.98289492218419</v>
      </c>
      <c r="S81" s="139">
        <f>SUM(N81:R81)</f>
        <v>12199.224571713119</v>
      </c>
      <c r="T81" s="138">
        <f>M81+S81</f>
        <v>26856.625424549733</v>
      </c>
      <c r="U81" s="137">
        <f>((M81*$U$6)+M81)/E81</f>
        <v>1233.6645717804149</v>
      </c>
      <c r="V81" s="136">
        <f>((S81*$U$6)+S81)/F81</f>
        <v>18.955718180661922</v>
      </c>
      <c r="W81" s="137">
        <f>((M81*$W$6)+M81)/E81</f>
        <v>1282.5225746232036</v>
      </c>
      <c r="X81" s="136">
        <f>((S81*$W$6)+S81)/F81</f>
        <v>19.706439692767347</v>
      </c>
      <c r="Y81" s="137">
        <f>((M81*$Y$6)+M81)/E81</f>
        <v>1343.5950781766894</v>
      </c>
      <c r="Z81" s="136">
        <f>((S81*$Y$6)+S81)/F81</f>
        <v>20.644841582899122</v>
      </c>
      <c r="AA81" s="103"/>
      <c r="AB81" s="102">
        <f t="shared" si="49"/>
        <v>1234</v>
      </c>
      <c r="AC81" s="135">
        <f t="shared" si="50"/>
        <v>19</v>
      </c>
      <c r="AD81" s="102">
        <f t="shared" si="51"/>
        <v>1283</v>
      </c>
      <c r="AE81" s="135">
        <f t="shared" si="52"/>
        <v>19.8</v>
      </c>
      <c r="AF81" s="102">
        <f>MROUND(Y81,1)</f>
        <v>1344</v>
      </c>
      <c r="AG81" s="135">
        <f>ROUNDUP(Z81,1)</f>
        <v>20.700000000000003</v>
      </c>
      <c r="AH81" s="102">
        <f t="shared" si="68"/>
        <v>1235.2</v>
      </c>
      <c r="AI81" s="102">
        <f t="shared" si="68"/>
        <v>19.680000000000003</v>
      </c>
      <c r="AJ81" s="101">
        <f t="shared" si="69"/>
        <v>0.91904761904761911</v>
      </c>
      <c r="AK81" s="101">
        <f t="shared" si="69"/>
        <v>0.95072463768115945</v>
      </c>
      <c r="AL81" s="102">
        <v>1544</v>
      </c>
      <c r="AM81" s="135">
        <v>24.6</v>
      </c>
    </row>
    <row r="82" spans="1:39" outlineLevel="1" x14ac:dyDescent="0.3">
      <c r="C82" s="143">
        <v>3007</v>
      </c>
      <c r="D82" s="116" t="s">
        <v>435</v>
      </c>
      <c r="E82" s="116">
        <f>VLOOKUP(D82,'[3]Прайс 2022'!D$12:E$99,2,0)</f>
        <v>12</v>
      </c>
      <c r="F82" s="115">
        <f>VLOOKUP(D82,'[3]Прайс 2022'!D$12:G$99,3,0)</f>
        <v>650</v>
      </c>
      <c r="G82" s="114">
        <f>VLOOKUP(D82,'[3]Прайс 2022'!D$12:G$99,4,0)</f>
        <v>216.45</v>
      </c>
      <c r="H82" s="142">
        <f>3306.74904537455*1.05*1.2</f>
        <v>4166.503797171933</v>
      </c>
      <c r="I82" s="112">
        <f>H82*0.307</f>
        <v>1279.1166657317833</v>
      </c>
      <c r="J82" s="112">
        <v>3702.6134394026931</v>
      </c>
      <c r="K82" s="112">
        <v>216.26611558004828</v>
      </c>
      <c r="L82" s="140">
        <v>2810.7366885683709</v>
      </c>
      <c r="M82" s="139">
        <f>SUM(H82:L82)</f>
        <v>12175.236706454829</v>
      </c>
      <c r="N82" s="141">
        <v>1894.1434561207118</v>
      </c>
      <c r="O82" s="112">
        <v>1357.7977337261505</v>
      </c>
      <c r="P82" s="109">
        <v>7415.21013559322</v>
      </c>
      <c r="Q82" s="109">
        <f>P82*0.04</f>
        <v>296.60840542372881</v>
      </c>
      <c r="R82" s="140">
        <v>327.66905275019792</v>
      </c>
      <c r="S82" s="139">
        <f>SUM(N82:R82)</f>
        <v>11291.428783614008</v>
      </c>
      <c r="T82" s="138">
        <f>M82+S82</f>
        <v>23466.665490068837</v>
      </c>
      <c r="U82" s="137">
        <f>((M82*$U$6)+M82)/E82</f>
        <v>1024.749089459948</v>
      </c>
      <c r="V82" s="136">
        <f>((S82*$U$6)+S82)/F82</f>
        <v>17.545143186846381</v>
      </c>
      <c r="W82" s="137">
        <f>((M82*$W$6)+M82)/E82</f>
        <v>1065.3332118147976</v>
      </c>
      <c r="X82" s="136">
        <f>((S82*$W$6)+S82)/F82</f>
        <v>18.240000342761089</v>
      </c>
      <c r="Y82" s="137">
        <f>((M82*$Y$6)+M82)/E82</f>
        <v>1116.0633647583593</v>
      </c>
      <c r="Z82" s="136">
        <f>((S82*$Y$6)+S82)/F82</f>
        <v>19.108571787654476</v>
      </c>
      <c r="AA82" s="103"/>
      <c r="AB82" s="102">
        <f t="shared" si="49"/>
        <v>1025</v>
      </c>
      <c r="AC82" s="135">
        <f t="shared" si="50"/>
        <v>17.600000000000001</v>
      </c>
      <c r="AD82" s="102">
        <f t="shared" si="51"/>
        <v>1065</v>
      </c>
      <c r="AE82" s="135">
        <f t="shared" si="52"/>
        <v>18.3</v>
      </c>
      <c r="AF82" s="102">
        <f>MROUND(Y82,1)</f>
        <v>1116</v>
      </c>
      <c r="AG82" s="135">
        <f>ROUNDUP(Z82,1)</f>
        <v>19.200000000000003</v>
      </c>
      <c r="AH82" s="102">
        <f t="shared" si="68"/>
        <v>1235.2</v>
      </c>
      <c r="AI82" s="102">
        <f t="shared" si="68"/>
        <v>19.680000000000003</v>
      </c>
      <c r="AJ82" s="101">
        <f t="shared" si="69"/>
        <v>1.1068100358422939</v>
      </c>
      <c r="AK82" s="101">
        <f t="shared" si="69"/>
        <v>1.0249999999999999</v>
      </c>
      <c r="AL82" s="102">
        <v>1544</v>
      </c>
      <c r="AM82" s="135">
        <v>24.6</v>
      </c>
    </row>
    <row r="83" spans="1:39" outlineLevel="1" x14ac:dyDescent="0.3">
      <c r="C83" s="196" t="s">
        <v>130</v>
      </c>
      <c r="D83" s="196"/>
      <c r="E83" s="116"/>
      <c r="F83" s="115"/>
      <c r="G83" s="114"/>
      <c r="H83" s="195"/>
      <c r="I83" s="193"/>
      <c r="J83" s="193"/>
      <c r="K83" s="193"/>
      <c r="L83" s="192"/>
      <c r="M83" s="191"/>
      <c r="N83" s="194"/>
      <c r="O83" s="193"/>
      <c r="P83" s="193"/>
      <c r="Q83" s="193"/>
      <c r="R83" s="192"/>
      <c r="S83" s="191"/>
      <c r="T83" s="190"/>
      <c r="U83" s="189"/>
      <c r="V83" s="188"/>
      <c r="W83" s="189"/>
      <c r="X83" s="188"/>
      <c r="Y83" s="189"/>
      <c r="Z83" s="188"/>
      <c r="AB83" s="186">
        <f t="shared" si="49"/>
        <v>0</v>
      </c>
      <c r="AC83" s="185">
        <f t="shared" si="50"/>
        <v>0</v>
      </c>
      <c r="AD83" s="186">
        <f t="shared" si="51"/>
        <v>0</v>
      </c>
      <c r="AE83" s="185">
        <f t="shared" si="52"/>
        <v>0</v>
      </c>
      <c r="AF83" s="186"/>
      <c r="AG83" s="185"/>
      <c r="AH83" s="186"/>
      <c r="AI83" s="185"/>
      <c r="AJ83" s="187"/>
      <c r="AK83" s="187"/>
      <c r="AL83" s="186"/>
      <c r="AM83" s="185"/>
    </row>
    <row r="84" spans="1:39" outlineLevel="1" x14ac:dyDescent="0.3">
      <c r="C84" s="131"/>
      <c r="D84" s="184" t="s">
        <v>427</v>
      </c>
      <c r="E84" s="116">
        <f>IFERROR(VLOOKUP($D84,[1]Тарифы!$D$7:$M$93,8,FALSE),0)</f>
        <v>12</v>
      </c>
      <c r="F84" s="115">
        <f>IFERROR(VLOOKUP($D84,[1]Тарифы!$D$7:$M$93,9,FALSE),0)</f>
        <v>650</v>
      </c>
      <c r="G84" s="183">
        <f>IFERROR(VLOOKUP($D84,[1]Тарифы!$D$7:$M$93,10,FALSE),0)</f>
        <v>216.45</v>
      </c>
      <c r="H84" s="142">
        <f>'[2]Трал 54т'!F56*1.05*1.2</f>
        <v>5418.6742403319386</v>
      </c>
      <c r="I84" s="112">
        <f>H84*0.307</f>
        <v>1663.5329917819051</v>
      </c>
      <c r="J84" s="112">
        <f>'[2]Трал 54т'!F61</f>
        <v>4860.3273083928825</v>
      </c>
      <c r="K84" s="112">
        <f>'[2]Трал 54т'!F63</f>
        <v>221.06</v>
      </c>
      <c r="L84" s="140">
        <f>'[2]Трал 54т'!F77</f>
        <v>3655.4548446683712</v>
      </c>
      <c r="M84" s="139">
        <f>SUM(H84:L84)</f>
        <v>15819.049385175098</v>
      </c>
      <c r="N84" s="141">
        <f>'[2]Трал 54т'!F27</f>
        <v>2458.9500000000003</v>
      </c>
      <c r="O84" s="112">
        <f>'[2]Трал 54т'!F29</f>
        <v>2112.0157755331088</v>
      </c>
      <c r="P84" s="109">
        <f>('[2]Трал 54т'!F40)*1.3</f>
        <v>7415.21013559322</v>
      </c>
      <c r="Q84" s="109">
        <f>P84*0.04</f>
        <v>296.60840542372881</v>
      </c>
      <c r="R84" s="140">
        <f>'[2]Трал 54т'!F53</f>
        <v>543.24206866579755</v>
      </c>
      <c r="S84" s="139">
        <f>SUM(N84:R84)</f>
        <v>12826.026385215855</v>
      </c>
      <c r="T84" s="138">
        <f>M84+S84</f>
        <v>28645.075770390955</v>
      </c>
      <c r="U84" s="137">
        <f>((M84*$U$6)+M84)/E84</f>
        <v>1331.4366565855707</v>
      </c>
      <c r="V84" s="136">
        <f>((S84*$U$6)+S84)/F84</f>
        <v>19.929671767796943</v>
      </c>
      <c r="W84" s="137">
        <f>((M84*$W$6)+M84)/E84</f>
        <v>1384.166821202821</v>
      </c>
      <c r="X84" s="136">
        <f>((S84*$W$6)+S84)/F84</f>
        <v>20.718965699194843</v>
      </c>
      <c r="Y84" s="137">
        <f>((M84*$Y$6)+M84)/E84</f>
        <v>1450.079526974384</v>
      </c>
      <c r="Z84" s="136">
        <f>((S84*$Y$6)+S84)/F84</f>
        <v>21.705583113442216</v>
      </c>
      <c r="AA84" s="103"/>
      <c r="AB84" s="102">
        <f t="shared" si="49"/>
        <v>1331</v>
      </c>
      <c r="AC84" s="135">
        <f t="shared" si="50"/>
        <v>20</v>
      </c>
      <c r="AD84" s="102">
        <f t="shared" si="51"/>
        <v>1384</v>
      </c>
      <c r="AE84" s="135">
        <f t="shared" si="52"/>
        <v>20.8</v>
      </c>
      <c r="AF84" s="102">
        <f>MROUND(Y84,1)</f>
        <v>1450</v>
      </c>
      <c r="AG84" s="135">
        <f>ROUNDUP(Z84,1)</f>
        <v>21.8</v>
      </c>
      <c r="AH84" s="102">
        <f t="shared" ref="AH84:AI86" si="70">AL84*0.8</f>
        <v>1407.2</v>
      </c>
      <c r="AI84" s="102">
        <f t="shared" si="70"/>
        <v>21.76</v>
      </c>
      <c r="AJ84" s="101">
        <f t="shared" ref="AJ84:AK86" si="71">AH84/AF84</f>
        <v>0.97048275862068967</v>
      </c>
      <c r="AK84" s="101">
        <f t="shared" si="71"/>
        <v>0.99816513761467895</v>
      </c>
      <c r="AL84" s="102">
        <v>1759</v>
      </c>
      <c r="AM84" s="135">
        <v>27.2</v>
      </c>
    </row>
    <row r="85" spans="1:39" outlineLevel="1" x14ac:dyDescent="0.3">
      <c r="C85" s="131"/>
      <c r="D85" s="184" t="s">
        <v>428</v>
      </c>
      <c r="E85" s="116">
        <f>IFERROR(VLOOKUP($D85,[1]Тарифы!$D$7:$M$93,8,FALSE),0)</f>
        <v>12</v>
      </c>
      <c r="F85" s="115">
        <f>IFERROR(VLOOKUP($D85,[1]Тарифы!$D$7:$M$93,9,FALSE),0)</f>
        <v>650</v>
      </c>
      <c r="G85" s="183">
        <f>IFERROR(VLOOKUP($D85,[1]Тарифы!$D$7:$M$93,10,FALSE),0)</f>
        <v>216.45</v>
      </c>
      <c r="H85" s="142">
        <f>'[2]Трал 38 т'!F56*1.05*1.2</f>
        <v>5418.6742403319386</v>
      </c>
      <c r="I85" s="112">
        <f>H85*0.307</f>
        <v>1663.5329917819051</v>
      </c>
      <c r="J85" s="112">
        <f>'[2]Трал 38 т'!F61</f>
        <v>2901.1324786324785</v>
      </c>
      <c r="K85" s="112">
        <f>'[2]Трал 38 т'!F63</f>
        <v>221.06</v>
      </c>
      <c r="L85" s="140">
        <f>'[2]Трал 38 т'!F77</f>
        <v>3655.4548446683712</v>
      </c>
      <c r="M85" s="139">
        <f>SUM(H85:L85)</f>
        <v>13859.854555414693</v>
      </c>
      <c r="N85" s="141">
        <f>'[2]Трал 38 т'!F27</f>
        <v>2458.9500000000003</v>
      </c>
      <c r="O85" s="112">
        <f>'[2]Трал 38 т'!F29</f>
        <v>1521.7246150392816</v>
      </c>
      <c r="P85" s="109">
        <f>('[2]Трал 38 т'!F40)*1.3</f>
        <v>7415.21013559322</v>
      </c>
      <c r="Q85" s="109">
        <f>P85*0.04</f>
        <v>296.60840542372881</v>
      </c>
      <c r="R85" s="140">
        <f>'[2]Трал 38 т'!F53</f>
        <v>543.24206866579755</v>
      </c>
      <c r="S85" s="139">
        <f>SUM(N85:R85)</f>
        <v>12235.735224722028</v>
      </c>
      <c r="T85" s="138">
        <f>M85+S85</f>
        <v>26095.589780136721</v>
      </c>
      <c r="U85" s="137">
        <f>((M85*$U$6)+M85)/E85</f>
        <v>1166.5377584140699</v>
      </c>
      <c r="V85" s="136">
        <f>((S85*$U$6)+S85)/F85</f>
        <v>19.012450118414225</v>
      </c>
      <c r="W85" s="137">
        <f>((M85*$W$6)+M85)/E85</f>
        <v>1212.7372735987856</v>
      </c>
      <c r="X85" s="136">
        <f>((S85*$W$6)+S85)/F85</f>
        <v>19.765418439935583</v>
      </c>
      <c r="Y85" s="137">
        <f>((M85*$Y$6)+M85)/E85</f>
        <v>1270.4866675796802</v>
      </c>
      <c r="Z85" s="136">
        <f>((S85*$Y$6)+S85)/F85</f>
        <v>20.706628841837279</v>
      </c>
      <c r="AA85" s="103"/>
      <c r="AB85" s="102">
        <f t="shared" si="49"/>
        <v>1167</v>
      </c>
      <c r="AC85" s="135">
        <f t="shared" si="50"/>
        <v>19.100000000000001</v>
      </c>
      <c r="AD85" s="102">
        <f t="shared" si="51"/>
        <v>1213</v>
      </c>
      <c r="AE85" s="135">
        <f t="shared" si="52"/>
        <v>19.8</v>
      </c>
      <c r="AF85" s="102">
        <f>MROUND(Y85,1)</f>
        <v>1270</v>
      </c>
      <c r="AG85" s="135">
        <f>ROUNDUP(Z85,1)</f>
        <v>20.8</v>
      </c>
      <c r="AH85" s="102">
        <f t="shared" si="70"/>
        <v>1182.4000000000001</v>
      </c>
      <c r="AI85" s="102">
        <f t="shared" si="70"/>
        <v>20.560000000000002</v>
      </c>
      <c r="AJ85" s="101">
        <f t="shared" si="71"/>
        <v>0.9310236220472442</v>
      </c>
      <c r="AK85" s="101">
        <f t="shared" si="71"/>
        <v>0.9884615384615385</v>
      </c>
      <c r="AL85" s="102">
        <v>1478</v>
      </c>
      <c r="AM85" s="135">
        <v>25.7</v>
      </c>
    </row>
    <row r="86" spans="1:39" outlineLevel="1" x14ac:dyDescent="0.3">
      <c r="C86" s="131"/>
      <c r="D86" s="184" t="s">
        <v>434</v>
      </c>
      <c r="E86" s="116">
        <f>VLOOKUP(D86,'[3]Прайс 2022'!D$12:E$99,2,0)</f>
        <v>12</v>
      </c>
      <c r="F86" s="115">
        <f>VLOOKUP(D86,'[3]Прайс 2022'!D$12:G$99,3,0)</f>
        <v>650</v>
      </c>
      <c r="G86" s="183">
        <v>216.45</v>
      </c>
      <c r="H86" s="142">
        <f>3647*1.05*1.2</f>
        <v>4595.22</v>
      </c>
      <c r="I86" s="112">
        <f>H86*0.307</f>
        <v>1410.73254</v>
      </c>
      <c r="J86" s="112">
        <v>6119.2205128205132</v>
      </c>
      <c r="K86" s="112">
        <v>220.52581196581195</v>
      </c>
      <c r="L86" s="140">
        <v>3099.95</v>
      </c>
      <c r="M86" s="139">
        <f>SUM(H86:L86)</f>
        <v>15445.648864786326</v>
      </c>
      <c r="N86" s="141">
        <v>1891.5</v>
      </c>
      <c r="O86" s="112">
        <v>2918.8747968574635</v>
      </c>
      <c r="P86" s="109">
        <v>11099.576271186441</v>
      </c>
      <c r="Q86" s="109">
        <f>P86*0.04</f>
        <v>443.98305084745766</v>
      </c>
      <c r="R86" s="140">
        <v>434.593654932638</v>
      </c>
      <c r="S86" s="139">
        <f>SUM(N86:R86)</f>
        <v>16788.527773824</v>
      </c>
      <c r="T86" s="138">
        <f>M86+S86</f>
        <v>32234.176638610326</v>
      </c>
      <c r="U86" s="137">
        <f>((M86*$U$6)+M86)/E86</f>
        <v>1300.0087794528492</v>
      </c>
      <c r="V86" s="136">
        <f>((S86*$U$6)+S86)/F86</f>
        <v>26.086789310095757</v>
      </c>
      <c r="W86" s="137">
        <f>((M86*$W$6)+M86)/E86</f>
        <v>1351.4942756688035</v>
      </c>
      <c r="X86" s="136">
        <f>((S86*$W$6)+S86)/F86</f>
        <v>27.119929480792617</v>
      </c>
      <c r="Y86" s="137">
        <f>((M86*$Y$6)+M86)/E86</f>
        <v>1415.8511459387464</v>
      </c>
      <c r="Z86" s="136">
        <f>((S86*$Y$6)+S86)/F86</f>
        <v>28.411354694163691</v>
      </c>
      <c r="AA86" s="103"/>
      <c r="AB86" s="102">
        <f t="shared" si="49"/>
        <v>1300</v>
      </c>
      <c r="AC86" s="135">
        <f t="shared" si="50"/>
        <v>26.1</v>
      </c>
      <c r="AD86" s="102">
        <f t="shared" si="51"/>
        <v>1351</v>
      </c>
      <c r="AE86" s="135">
        <f t="shared" si="52"/>
        <v>27.200000000000003</v>
      </c>
      <c r="AF86" s="102">
        <f>MROUND(Y86,1)</f>
        <v>1416</v>
      </c>
      <c r="AG86" s="135">
        <f>ROUNDUP(Z86,1)</f>
        <v>28.5</v>
      </c>
      <c r="AH86" s="102">
        <f t="shared" si="70"/>
        <v>1625.6000000000001</v>
      </c>
      <c r="AI86" s="102">
        <f t="shared" si="70"/>
        <v>29.84</v>
      </c>
      <c r="AJ86" s="101">
        <f t="shared" si="71"/>
        <v>1.1480225988700565</v>
      </c>
      <c r="AK86" s="101">
        <f t="shared" si="71"/>
        <v>1.0470175438596492</v>
      </c>
      <c r="AL86" s="102">
        <v>2032</v>
      </c>
      <c r="AM86" s="135">
        <v>37.299999999999997</v>
      </c>
    </row>
    <row r="87" spans="1:39" outlineLevel="1" x14ac:dyDescent="0.3">
      <c r="C87" s="182" t="s">
        <v>52</v>
      </c>
      <c r="D87" s="181"/>
      <c r="E87" s="181"/>
      <c r="F87" s="181"/>
      <c r="G87" s="181"/>
      <c r="H87" s="180"/>
      <c r="I87" s="178"/>
      <c r="J87" s="178"/>
      <c r="K87" s="178"/>
      <c r="L87" s="177"/>
      <c r="M87" s="176"/>
      <c r="N87" s="179"/>
      <c r="O87" s="178"/>
      <c r="P87" s="178"/>
      <c r="Q87" s="178"/>
      <c r="R87" s="177"/>
      <c r="S87" s="176"/>
      <c r="T87" s="175"/>
      <c r="U87" s="174"/>
      <c r="V87" s="173"/>
      <c r="W87" s="174"/>
      <c r="X87" s="173"/>
      <c r="Y87" s="174"/>
      <c r="Z87" s="173"/>
      <c r="AB87" s="171">
        <f t="shared" si="49"/>
        <v>0</v>
      </c>
      <c r="AC87" s="170">
        <f t="shared" si="50"/>
        <v>0</v>
      </c>
      <c r="AD87" s="171">
        <f t="shared" si="51"/>
        <v>0</v>
      </c>
      <c r="AE87" s="170">
        <f t="shared" si="52"/>
        <v>0</v>
      </c>
      <c r="AF87" s="171"/>
      <c r="AG87" s="170"/>
      <c r="AH87" s="171"/>
      <c r="AI87" s="170"/>
      <c r="AJ87" s="172"/>
      <c r="AK87" s="172"/>
      <c r="AL87" s="171"/>
      <c r="AM87" s="170"/>
    </row>
    <row r="88" spans="1:39" outlineLevel="1" x14ac:dyDescent="0.3">
      <c r="C88" s="131" t="s">
        <v>433</v>
      </c>
      <c r="D88" s="169"/>
      <c r="E88" s="116"/>
      <c r="F88" s="115"/>
      <c r="G88" s="114"/>
      <c r="H88" s="168"/>
      <c r="I88" s="166"/>
      <c r="J88" s="166"/>
      <c r="K88" s="166"/>
      <c r="L88" s="165"/>
      <c r="M88" s="164"/>
      <c r="N88" s="167"/>
      <c r="O88" s="166"/>
      <c r="P88" s="166"/>
      <c r="Q88" s="166"/>
      <c r="R88" s="165"/>
      <c r="S88" s="164"/>
      <c r="T88" s="163"/>
      <c r="U88" s="162"/>
      <c r="V88" s="161"/>
      <c r="W88" s="162"/>
      <c r="X88" s="161"/>
      <c r="Y88" s="162"/>
      <c r="Z88" s="161"/>
      <c r="AB88" s="159">
        <f t="shared" si="49"/>
        <v>0</v>
      </c>
      <c r="AC88" s="158">
        <f t="shared" si="50"/>
        <v>0</v>
      </c>
      <c r="AD88" s="159">
        <f t="shared" si="51"/>
        <v>0</v>
      </c>
      <c r="AE88" s="158">
        <f t="shared" si="52"/>
        <v>0</v>
      </c>
      <c r="AF88" s="159"/>
      <c r="AG88" s="158"/>
      <c r="AH88" s="159"/>
      <c r="AI88" s="158"/>
      <c r="AJ88" s="160"/>
      <c r="AK88" s="160"/>
      <c r="AL88" s="159"/>
      <c r="AM88" s="158"/>
    </row>
    <row r="89" spans="1:39" outlineLevel="1" x14ac:dyDescent="0.3">
      <c r="A89" s="157"/>
      <c r="C89" s="143">
        <v>3041</v>
      </c>
      <c r="D89" s="116" t="s">
        <v>388</v>
      </c>
      <c r="E89" s="116">
        <f>IFERROR(VLOOKUP($D89,[1]Тарифы!$D$7:$M$93,8,FALSE),0)</f>
        <v>8</v>
      </c>
      <c r="F89" s="115">
        <f>IFERROR(VLOOKUP($D89,[1]Тарифы!$D$7:$M$93,9,FALSE),0)</f>
        <v>650</v>
      </c>
      <c r="G89" s="114">
        <f>IFERROR(VLOOKUP($D89,[1]Тарифы!$D$7:$M$93,10,FALSE),0)</f>
        <v>63.05</v>
      </c>
      <c r="H89" s="142">
        <f>[2]Шкода!F56*1.05*1.2</f>
        <v>3688.9261643835616</v>
      </c>
      <c r="I89" s="112">
        <f>H89*0.307</f>
        <v>1132.5003324657534</v>
      </c>
      <c r="J89" s="112">
        <f>[2]Шкода!F61</f>
        <v>738.68744939271255</v>
      </c>
      <c r="K89" s="112">
        <f>[2]Шкода!F63</f>
        <v>40.984129554655873</v>
      </c>
      <c r="L89" s="140">
        <f>[2]Шкода!F77</f>
        <v>2488.561301369863</v>
      </c>
      <c r="M89" s="139">
        <f>SUM(H89:L89)</f>
        <v>8089.6593771665466</v>
      </c>
      <c r="N89" s="141">
        <f>[2]Шкода!F27</f>
        <v>456.30000000000007</v>
      </c>
      <c r="O89" s="112">
        <f>[2]Шкода!F29</f>
        <v>91.525200000000012</v>
      </c>
      <c r="P89" s="109">
        <f>([2]Шкода!F40)*1.3</f>
        <v>2051.3477796610173</v>
      </c>
      <c r="Q89" s="109">
        <f>P89*0.04</f>
        <v>82.053911186440686</v>
      </c>
      <c r="R89" s="140">
        <f>[2]Шкода!F53</f>
        <v>0</v>
      </c>
      <c r="S89" s="139">
        <f>SUM(N89:R89)</f>
        <v>2681.226890847458</v>
      </c>
      <c r="T89" s="138">
        <f>M89+S89</f>
        <v>10770.886268014005</v>
      </c>
      <c r="U89" s="137">
        <f>((M89*$U$6)+M89)/E89</f>
        <v>1021.3194963672765</v>
      </c>
      <c r="V89" s="136">
        <f>((S89*$U$6)+S89)/F89</f>
        <v>4.1662140919322033</v>
      </c>
      <c r="W89" s="137">
        <f>((M89*$W$6)+M89)/E89</f>
        <v>1061.7677932531092</v>
      </c>
      <c r="X89" s="136">
        <f>((S89*$W$6)+S89)/F89</f>
        <v>4.3312126698305091</v>
      </c>
      <c r="Y89" s="137">
        <f>((M89*$Y$6)+M89)/E89</f>
        <v>1112.3281643604003</v>
      </c>
      <c r="Z89" s="136">
        <f>((S89*$Y$6)+S89)/F89</f>
        <v>4.5374608922033906</v>
      </c>
      <c r="AA89" s="103"/>
      <c r="AB89" s="102">
        <f t="shared" si="49"/>
        <v>1021</v>
      </c>
      <c r="AC89" s="135">
        <f t="shared" si="50"/>
        <v>4.1999999999999993</v>
      </c>
      <c r="AD89" s="102">
        <f t="shared" si="51"/>
        <v>1062</v>
      </c>
      <c r="AE89" s="135">
        <f t="shared" si="52"/>
        <v>4.3999999999999995</v>
      </c>
      <c r="AF89" s="102">
        <f>MROUND(Y89*0.85,1)</f>
        <v>945</v>
      </c>
      <c r="AG89" s="135">
        <f>ROUNDUP(Z89,1)</f>
        <v>4.5999999999999996</v>
      </c>
      <c r="AH89" s="102">
        <f>AL89*0.8</f>
        <v>861.6</v>
      </c>
      <c r="AI89" s="102">
        <f>AM89*0.8</f>
        <v>4.08</v>
      </c>
      <c r="AJ89" s="101">
        <f>AH89/AF89</f>
        <v>0.91174603174603175</v>
      </c>
      <c r="AK89" s="101">
        <f>AI89/AG89</f>
        <v>0.88695652173913053</v>
      </c>
      <c r="AL89" s="102">
        <v>1077</v>
      </c>
      <c r="AM89" s="135">
        <v>5.0999999999999996</v>
      </c>
    </row>
    <row r="90" spans="1:39" outlineLevel="1" x14ac:dyDescent="0.3">
      <c r="C90" s="131" t="s">
        <v>125</v>
      </c>
      <c r="D90" s="130"/>
      <c r="E90" s="116"/>
      <c r="F90" s="115"/>
      <c r="G90" s="114"/>
      <c r="H90" s="129"/>
      <c r="I90" s="127"/>
      <c r="J90" s="127"/>
      <c r="K90" s="127"/>
      <c r="L90" s="126"/>
      <c r="M90" s="125"/>
      <c r="N90" s="128"/>
      <c r="O90" s="127"/>
      <c r="P90" s="127"/>
      <c r="Q90" s="127"/>
      <c r="R90" s="126"/>
      <c r="S90" s="125"/>
      <c r="T90" s="124"/>
      <c r="U90" s="123"/>
      <c r="V90" s="122"/>
      <c r="W90" s="123"/>
      <c r="X90" s="122"/>
      <c r="Y90" s="123"/>
      <c r="Z90" s="122"/>
      <c r="AA90" s="103"/>
      <c r="AB90" s="120">
        <f t="shared" si="49"/>
        <v>0</v>
      </c>
      <c r="AC90" s="119">
        <f t="shared" si="50"/>
        <v>0</v>
      </c>
      <c r="AD90" s="120">
        <f t="shared" si="51"/>
        <v>0</v>
      </c>
      <c r="AE90" s="119">
        <f t="shared" si="52"/>
        <v>0</v>
      </c>
      <c r="AF90" s="120"/>
      <c r="AG90" s="119"/>
      <c r="AH90" s="120"/>
      <c r="AI90" s="119"/>
      <c r="AJ90" s="121"/>
      <c r="AK90" s="121"/>
      <c r="AL90" s="120"/>
      <c r="AM90" s="119"/>
    </row>
    <row r="91" spans="1:39" outlineLevel="1" x14ac:dyDescent="0.3">
      <c r="C91" s="143">
        <v>3021</v>
      </c>
      <c r="D91" s="116" t="s">
        <v>125</v>
      </c>
      <c r="E91" s="116">
        <f>IFERROR(VLOOKUP($D91,[1]Тарифы!$D$7:$M$93,8,FALSE),0)</f>
        <v>8</v>
      </c>
      <c r="F91" s="115">
        <f>IFERROR(VLOOKUP($D91,[1]Тарифы!$D$7:$M$93,9,FALSE),0)</f>
        <v>650</v>
      </c>
      <c r="G91" s="114">
        <f>IFERROR(VLOOKUP($D91,[1]Тарифы!$D$7:$M$93,10,FALSE),0)</f>
        <v>79.3</v>
      </c>
      <c r="H91" s="142">
        <f>[2]Камри!$F56*1.05*1.2</f>
        <v>3688.9261643835616</v>
      </c>
      <c r="I91" s="112">
        <f>H91*0.307</f>
        <v>1132.5003324657534</v>
      </c>
      <c r="J91" s="112">
        <f>[2]Камри!$F61</f>
        <v>1252.6550588927937</v>
      </c>
      <c r="K91" s="112">
        <f>[2]Камри!$F63</f>
        <v>137.20401418026995</v>
      </c>
      <c r="L91" s="140">
        <f>[2]Камри!$F77</f>
        <v>2488.561301369863</v>
      </c>
      <c r="M91" s="139">
        <f>SUM(H91:L91)</f>
        <v>8699.8468712922422</v>
      </c>
      <c r="N91" s="141">
        <f>[2]Камри!$F27</f>
        <v>142.74823028582674</v>
      </c>
      <c r="O91" s="112">
        <f>[2]Камри!$F29</f>
        <v>254.22</v>
      </c>
      <c r="P91" s="109">
        <f>([2]Камри!$F40)*1.3</f>
        <v>2580.0456610169495</v>
      </c>
      <c r="Q91" s="109">
        <f>P91*0.04</f>
        <v>103.20182644067798</v>
      </c>
      <c r="R91" s="140">
        <f>[2]Камри!$F53</f>
        <v>58.186189162659353</v>
      </c>
      <c r="S91" s="139">
        <f>SUM(N91:R91)</f>
        <v>3138.4019069061137</v>
      </c>
      <c r="T91" s="138">
        <f>M91+S91</f>
        <v>11838.248778198356</v>
      </c>
      <c r="U91" s="137">
        <f>((M91*$U$6)+M91)/E91</f>
        <v>1098.3556675006455</v>
      </c>
      <c r="V91" s="136">
        <f>((S91*$U$6)+S91)/F91</f>
        <v>4.8765937322694999</v>
      </c>
      <c r="W91" s="137">
        <f>((M91*$W$6)+M91)/E91</f>
        <v>1141.8549018571068</v>
      </c>
      <c r="X91" s="136">
        <f>((S91*$W$6)+S91)/F91</f>
        <v>5.0697261573098755</v>
      </c>
      <c r="Y91" s="137">
        <f>((M91*$Y$6)+M91)/E91</f>
        <v>1196.2289448026834</v>
      </c>
      <c r="Z91" s="136">
        <f>((S91*$Y$6)+S91)/F91</f>
        <v>5.3111416886103466</v>
      </c>
      <c r="AA91" s="103"/>
      <c r="AB91" s="102">
        <f t="shared" si="49"/>
        <v>1098</v>
      </c>
      <c r="AC91" s="135">
        <f t="shared" si="50"/>
        <v>4.8999999999999995</v>
      </c>
      <c r="AD91" s="102">
        <f t="shared" si="51"/>
        <v>1142</v>
      </c>
      <c r="AE91" s="135">
        <f t="shared" si="52"/>
        <v>5.0999999999999996</v>
      </c>
      <c r="AF91" s="102">
        <f>MROUND(Y91*0.87,1)</f>
        <v>1041</v>
      </c>
      <c r="AG91" s="135">
        <f>ROUNDUP(Z91*0.97,1)</f>
        <v>5.1999999999999993</v>
      </c>
      <c r="AH91" s="102">
        <f>AL91*0.8</f>
        <v>1030.4000000000001</v>
      </c>
      <c r="AI91" s="102">
        <f>AM91*0.8</f>
        <v>5.120000000000001</v>
      </c>
      <c r="AJ91" s="101">
        <f>AH91/AF91</f>
        <v>0.98981748318924123</v>
      </c>
      <c r="AK91" s="101">
        <f>AI91/AG91</f>
        <v>0.98461538461538489</v>
      </c>
      <c r="AL91" s="102">
        <v>1288</v>
      </c>
      <c r="AM91" s="135">
        <v>6.4</v>
      </c>
    </row>
    <row r="92" spans="1:39" outlineLevel="1" x14ac:dyDescent="0.3">
      <c r="C92" s="131" t="s">
        <v>432</v>
      </c>
      <c r="D92" s="130"/>
      <c r="E92" s="116"/>
      <c r="F92" s="115"/>
      <c r="G92" s="114"/>
      <c r="H92" s="129"/>
      <c r="I92" s="127"/>
      <c r="J92" s="127"/>
      <c r="K92" s="127"/>
      <c r="L92" s="126"/>
      <c r="M92" s="125"/>
      <c r="N92" s="128"/>
      <c r="O92" s="127"/>
      <c r="P92" s="127"/>
      <c r="Q92" s="127"/>
      <c r="R92" s="126"/>
      <c r="S92" s="125"/>
      <c r="T92" s="124"/>
      <c r="U92" s="123"/>
      <c r="V92" s="122"/>
      <c r="W92" s="123"/>
      <c r="X92" s="122"/>
      <c r="Y92" s="123"/>
      <c r="Z92" s="122"/>
      <c r="AA92" s="103"/>
      <c r="AB92" s="120">
        <f t="shared" si="49"/>
        <v>0</v>
      </c>
      <c r="AC92" s="119">
        <f t="shared" si="50"/>
        <v>0</v>
      </c>
      <c r="AD92" s="120">
        <f t="shared" si="51"/>
        <v>0</v>
      </c>
      <c r="AE92" s="119">
        <f t="shared" si="52"/>
        <v>0</v>
      </c>
      <c r="AF92" s="120"/>
      <c r="AG92" s="119"/>
      <c r="AH92" s="120"/>
      <c r="AI92" s="119"/>
      <c r="AJ92" s="121"/>
      <c r="AK92" s="121"/>
      <c r="AL92" s="120"/>
      <c r="AM92" s="119"/>
    </row>
    <row r="93" spans="1:39" outlineLevel="1" x14ac:dyDescent="0.3">
      <c r="C93" s="143">
        <v>3024</v>
      </c>
      <c r="D93" s="116" t="s">
        <v>127</v>
      </c>
      <c r="E93" s="116">
        <f>IFERROR(VLOOKUP($D93,[1]Тарифы!$D$7:$M$93,8,FALSE),0)</f>
        <v>8</v>
      </c>
      <c r="F93" s="115">
        <f>IFERROR(VLOOKUP($D93,[1]Тарифы!$D$7:$M$93,9,FALSE),0)</f>
        <v>650</v>
      </c>
      <c r="G93" s="114">
        <f>IFERROR(VLOOKUP($D93,[1]Тарифы!$D$7:$M$93,10,FALSE),0)</f>
        <v>61.75</v>
      </c>
      <c r="H93" s="142">
        <f>[2]Логан!$F56*1.05*1.2</f>
        <v>2646.58893975</v>
      </c>
      <c r="I93" s="112">
        <f>H93*0.307</f>
        <v>812.50280450324999</v>
      </c>
      <c r="J93" s="112">
        <f>[2]Логан!$F61</f>
        <v>364.64472292513398</v>
      </c>
      <c r="K93" s="112">
        <f>[2]Логан!$F63</f>
        <v>41.521706856194093</v>
      </c>
      <c r="L93" s="140">
        <f>[2]Логан!$F77</f>
        <v>1785.3973006250001</v>
      </c>
      <c r="M93" s="139">
        <f>SUM(H93:L93)</f>
        <v>5650.6554746595784</v>
      </c>
      <c r="N93" s="141">
        <f>[2]Логан!$F27</f>
        <v>459.12832423051867</v>
      </c>
      <c r="O93" s="112">
        <f>[2]Логан!$F29</f>
        <v>143.79368421052629</v>
      </c>
      <c r="P93" s="109">
        <f>([2]Логан!$F40)*1.3</f>
        <v>2009.0519491525426</v>
      </c>
      <c r="Q93" s="109">
        <f>P93*0.04</f>
        <v>80.362077966101708</v>
      </c>
      <c r="R93" s="140">
        <f>[2]Логан!$F53</f>
        <v>0</v>
      </c>
      <c r="S93" s="139">
        <f>SUM(N93:R93)</f>
        <v>2692.3360355596892</v>
      </c>
      <c r="T93" s="138">
        <f>M93+S93</f>
        <v>8342.9915102192681</v>
      </c>
      <c r="U93" s="137">
        <f>((M93*$U$6)+M93)/E93</f>
        <v>713.39525367577176</v>
      </c>
      <c r="V93" s="136">
        <f>((S93*$U$6)+S93)/F93</f>
        <v>4.1834759937158248</v>
      </c>
      <c r="W93" s="137">
        <f>((M93*$W$6)+M93)/E93</f>
        <v>741.64853104906967</v>
      </c>
      <c r="X93" s="136">
        <f>((S93*$W$6)+S93)/F93</f>
        <v>4.3491582112887288</v>
      </c>
      <c r="Y93" s="137">
        <f>((M93*$Y$6)+M93)/E93</f>
        <v>776.96512776569205</v>
      </c>
      <c r="Z93" s="136">
        <f>((S93*$Y$6)+S93)/F93</f>
        <v>4.5562609832548588</v>
      </c>
      <c r="AA93" s="103"/>
      <c r="AB93" s="102">
        <f t="shared" si="49"/>
        <v>713</v>
      </c>
      <c r="AC93" s="135">
        <f t="shared" si="50"/>
        <v>4.1999999999999993</v>
      </c>
      <c r="AD93" s="102">
        <f t="shared" si="51"/>
        <v>742</v>
      </c>
      <c r="AE93" s="135">
        <f t="shared" si="52"/>
        <v>4.3999999999999995</v>
      </c>
      <c r="AF93" s="102">
        <f>MROUND(Y93*0.85,1)</f>
        <v>660</v>
      </c>
      <c r="AG93" s="135">
        <f>ROUNDUP(Z93*0.9,1)</f>
        <v>4.1999999999999993</v>
      </c>
      <c r="AH93" s="102">
        <f>AL93*0.8</f>
        <v>600</v>
      </c>
      <c r="AI93" s="102">
        <f>AM93*0.8</f>
        <v>4.16</v>
      </c>
      <c r="AJ93" s="101">
        <f>AH93/AF93</f>
        <v>0.90909090909090906</v>
      </c>
      <c r="AK93" s="101">
        <f>AI93/AG93</f>
        <v>0.99047619047619073</v>
      </c>
      <c r="AL93" s="102">
        <v>750</v>
      </c>
      <c r="AM93" s="135">
        <v>5.2</v>
      </c>
    </row>
    <row r="94" spans="1:39" outlineLevel="1" x14ac:dyDescent="0.3">
      <c r="C94" s="131" t="s">
        <v>431</v>
      </c>
      <c r="D94" s="155"/>
      <c r="E94" s="116"/>
      <c r="F94" s="115"/>
      <c r="G94" s="114"/>
      <c r="H94" s="154"/>
      <c r="I94" s="152"/>
      <c r="J94" s="152"/>
      <c r="K94" s="152"/>
      <c r="L94" s="151"/>
      <c r="M94" s="150"/>
      <c r="N94" s="153"/>
      <c r="O94" s="152"/>
      <c r="P94" s="152"/>
      <c r="Q94" s="152"/>
      <c r="R94" s="151"/>
      <c r="S94" s="150"/>
      <c r="T94" s="149"/>
      <c r="U94" s="148"/>
      <c r="V94" s="147"/>
      <c r="W94" s="148"/>
      <c r="X94" s="147"/>
      <c r="Y94" s="148"/>
      <c r="Z94" s="147"/>
      <c r="AA94" s="103"/>
      <c r="AB94" s="145"/>
      <c r="AC94" s="144">
        <f t="shared" si="50"/>
        <v>0</v>
      </c>
      <c r="AD94" s="145"/>
      <c r="AE94" s="144">
        <f t="shared" si="52"/>
        <v>0</v>
      </c>
      <c r="AF94" s="145"/>
      <c r="AG94" s="144"/>
      <c r="AH94" s="145"/>
      <c r="AI94" s="144"/>
      <c r="AJ94" s="146"/>
      <c r="AK94" s="146"/>
      <c r="AL94" s="145"/>
      <c r="AM94" s="144"/>
    </row>
    <row r="95" spans="1:39" outlineLevel="1" x14ac:dyDescent="0.3">
      <c r="C95" s="143">
        <v>3039</v>
      </c>
      <c r="D95" s="116" t="s">
        <v>430</v>
      </c>
      <c r="E95" s="116">
        <f>VLOOKUP(D95,'[3]Прайс 2022'!D$12:E$99,2,0)</f>
        <v>8</v>
      </c>
      <c r="F95" s="115">
        <f>VLOOKUP(D95,'[3]Прайс 2022'!D$12:G$99,3,0)</f>
        <v>650</v>
      </c>
      <c r="G95" s="114">
        <f>F95/100*10.4</f>
        <v>67.600000000000009</v>
      </c>
      <c r="H95" s="142">
        <f>H91</f>
        <v>3688.9261643835616</v>
      </c>
      <c r="I95" s="112">
        <f>H95*0.307</f>
        <v>1132.5003324657534</v>
      </c>
      <c r="J95" s="112">
        <f>J91</f>
        <v>1252.6550588927937</v>
      </c>
      <c r="K95" s="112">
        <f>K91</f>
        <v>137.20401418026995</v>
      </c>
      <c r="L95" s="140">
        <f>L91</f>
        <v>2488.561301369863</v>
      </c>
      <c r="M95" s="139">
        <f>SUM(H95:L95)</f>
        <v>8699.8468712922422</v>
      </c>
      <c r="N95" s="141">
        <f>N91</f>
        <v>142.74823028582674</v>
      </c>
      <c r="O95" s="112">
        <f>O91</f>
        <v>254.22</v>
      </c>
      <c r="P95" s="109">
        <f>(P91)</f>
        <v>2580.0456610169495</v>
      </c>
      <c r="Q95" s="109">
        <f>P95*0.04</f>
        <v>103.20182644067798</v>
      </c>
      <c r="R95" s="140">
        <f>R91</f>
        <v>58.186189162659353</v>
      </c>
      <c r="S95" s="139">
        <f>SUM(N95:R95)</f>
        <v>3138.4019069061137</v>
      </c>
      <c r="T95" s="138">
        <f>M95+S95</f>
        <v>11838.248778198356</v>
      </c>
      <c r="U95" s="137">
        <f>((M95*$U$6)+M95)/E95</f>
        <v>1098.3556675006455</v>
      </c>
      <c r="V95" s="136">
        <f>((S95*$U$6)+S95)/F95</f>
        <v>4.8765937322694999</v>
      </c>
      <c r="W95" s="137">
        <f>((M95*$W$6)+M95)/E95</f>
        <v>1141.8549018571068</v>
      </c>
      <c r="X95" s="136">
        <f>((S95*$W$6)+S95)/F95</f>
        <v>5.0697261573098755</v>
      </c>
      <c r="Y95" s="137">
        <f>((M95*$Y$6)+M95)/E95</f>
        <v>1196.2289448026834</v>
      </c>
      <c r="Z95" s="136">
        <f>((S95*$Y$6)+S95)/F95</f>
        <v>5.3111416886103466</v>
      </c>
      <c r="AA95" s="103"/>
      <c r="AB95" s="102">
        <f>MROUND(U95,1)</f>
        <v>1098</v>
      </c>
      <c r="AC95" s="135">
        <f t="shared" si="50"/>
        <v>4.8999999999999995</v>
      </c>
      <c r="AD95" s="102">
        <f>MROUND(W95,1)</f>
        <v>1142</v>
      </c>
      <c r="AE95" s="135">
        <f t="shared" si="52"/>
        <v>5.0999999999999996</v>
      </c>
      <c r="AF95" s="102">
        <f>MROUND(Y95*0.88,1)</f>
        <v>1053</v>
      </c>
      <c r="AG95" s="135">
        <f>ROUNDUP(Z95*0.89,1)</f>
        <v>4.8</v>
      </c>
      <c r="AH95" s="102">
        <f>AL95*0.8</f>
        <v>957.6</v>
      </c>
      <c r="AI95" s="102">
        <f>AM95*0.8</f>
        <v>4.8000000000000007</v>
      </c>
      <c r="AJ95" s="101">
        <f>AH95/AF95</f>
        <v>0.90940170940170939</v>
      </c>
      <c r="AK95" s="101">
        <f>AI95/AG95</f>
        <v>1.0000000000000002</v>
      </c>
      <c r="AL95" s="102">
        <v>1197</v>
      </c>
      <c r="AM95" s="135">
        <v>6</v>
      </c>
    </row>
    <row r="96" spans="1:39" outlineLevel="1" x14ac:dyDescent="0.3">
      <c r="C96" s="131" t="s">
        <v>126</v>
      </c>
      <c r="D96" s="155"/>
      <c r="E96" s="116"/>
      <c r="F96" s="115"/>
      <c r="G96" s="114"/>
      <c r="H96" s="154"/>
      <c r="I96" s="152"/>
      <c r="J96" s="152"/>
      <c r="K96" s="152"/>
      <c r="L96" s="151"/>
      <c r="M96" s="150"/>
      <c r="N96" s="153"/>
      <c r="O96" s="152"/>
      <c r="P96" s="152"/>
      <c r="Q96" s="152"/>
      <c r="R96" s="151"/>
      <c r="S96" s="150"/>
      <c r="T96" s="149"/>
      <c r="U96" s="148"/>
      <c r="V96" s="147"/>
      <c r="W96" s="148"/>
      <c r="X96" s="147"/>
      <c r="Y96" s="148"/>
      <c r="Z96" s="147"/>
      <c r="AA96" s="103"/>
      <c r="AB96" s="145"/>
      <c r="AC96" s="144"/>
      <c r="AD96" s="145"/>
      <c r="AE96" s="144"/>
      <c r="AF96" s="145"/>
      <c r="AG96" s="144"/>
      <c r="AH96" s="145"/>
      <c r="AI96" s="144"/>
      <c r="AJ96" s="146"/>
      <c r="AK96" s="146"/>
      <c r="AL96" s="145"/>
      <c r="AM96" s="144"/>
    </row>
    <row r="97" spans="2:39" outlineLevel="1" x14ac:dyDescent="0.3">
      <c r="C97" s="143">
        <v>3039</v>
      </c>
      <c r="D97" s="116" t="s">
        <v>126</v>
      </c>
      <c r="E97" s="116">
        <f>VLOOKUP(D97,'[3]Прайс 2022'!D$12:E$99,2,0)</f>
        <v>8</v>
      </c>
      <c r="F97" s="115">
        <f>VLOOKUP(D97,'[3]Прайс 2022'!D$12:G$99,3,0)</f>
        <v>650</v>
      </c>
      <c r="G97" s="114">
        <f>VLOOKUP(D97,'[3]Прайс 2022'!D$12:G$99,4,0)</f>
        <v>98.8</v>
      </c>
      <c r="H97" s="142">
        <f>2407.15805*1.05*1.2</f>
        <v>3033.019143</v>
      </c>
      <c r="I97" s="112">
        <f>H97*0.307</f>
        <v>931.13687690099994</v>
      </c>
      <c r="J97" s="112">
        <v>1922.1859873356623</v>
      </c>
      <c r="K97" s="112">
        <v>101.07017543859649</v>
      </c>
      <c r="L97" s="140">
        <v>2046.0843425</v>
      </c>
      <c r="M97" s="139">
        <f>SUM(H97:L97)</f>
        <v>8033.4965251752592</v>
      </c>
      <c r="N97" s="141">
        <v>110.50000000000001</v>
      </c>
      <c r="O97" s="112">
        <v>305.38209931608679</v>
      </c>
      <c r="P97" s="109">
        <v>3214.4831186440683</v>
      </c>
      <c r="Q97" s="109">
        <f>P97*0.04</f>
        <v>128.57932474576273</v>
      </c>
      <c r="R97" s="140">
        <v>609.64912280701753</v>
      </c>
      <c r="S97" s="139">
        <f>SUM(N97:R97)</f>
        <v>4368.5936655129353</v>
      </c>
      <c r="T97" s="138">
        <f>M97+S97</f>
        <v>12402.090190688195</v>
      </c>
      <c r="U97" s="137">
        <f>((M97*$U$6)+M97)/E97</f>
        <v>1014.2289363033765</v>
      </c>
      <c r="V97" s="136">
        <f>((S97*$U$6)+S97)/F97</f>
        <v>6.7881224648739451</v>
      </c>
      <c r="W97" s="137">
        <f>((M97*$W$6)+M97)/E97</f>
        <v>1054.3964189292528</v>
      </c>
      <c r="X97" s="136">
        <f>((S97*$W$6)+S97)/F97</f>
        <v>7.0569589981362792</v>
      </c>
      <c r="Y97" s="137">
        <f>((M97*$Y$6)+M97)/E97</f>
        <v>1104.6057722115982</v>
      </c>
      <c r="Z97" s="136">
        <f>((S97*$Y$6)+S97)/F97</f>
        <v>7.3930046647141978</v>
      </c>
      <c r="AA97" s="103"/>
      <c r="AB97" s="102">
        <f>MROUND(U97,1)</f>
        <v>1014</v>
      </c>
      <c r="AC97" s="135">
        <f>ROUNDUP(V97,1)</f>
        <v>6.8</v>
      </c>
      <c r="AD97" s="102">
        <f>MROUND(W97,1)</f>
        <v>1054</v>
      </c>
      <c r="AE97" s="135">
        <f>ROUNDUP(X97,1)</f>
        <v>7.1</v>
      </c>
      <c r="AF97" s="102">
        <f>MROUND(Y97*0.8,1)</f>
        <v>884</v>
      </c>
      <c r="AG97" s="135">
        <f>ROUNDUP(Z97*0.83,1)</f>
        <v>6.1999999999999993</v>
      </c>
      <c r="AH97" s="102">
        <f>AL97*0.8</f>
        <v>1219.2</v>
      </c>
      <c r="AI97" s="102">
        <f>AM97*0.8</f>
        <v>7.6000000000000005</v>
      </c>
      <c r="AJ97" s="101">
        <f>AH97/AF97</f>
        <v>1.3791855203619909</v>
      </c>
      <c r="AK97" s="101">
        <f>AI97/AG97</f>
        <v>1.2258064516129035</v>
      </c>
      <c r="AL97" s="102">
        <v>1524</v>
      </c>
      <c r="AM97" s="135">
        <v>9.5</v>
      </c>
    </row>
    <row r="98" spans="2:39" outlineLevel="1" x14ac:dyDescent="0.3">
      <c r="C98" s="156" t="s">
        <v>429</v>
      </c>
      <c r="D98" s="155"/>
      <c r="E98" s="116"/>
      <c r="F98" s="115"/>
      <c r="G98" s="114"/>
      <c r="H98" s="154"/>
      <c r="I98" s="152"/>
      <c r="J98" s="152"/>
      <c r="K98" s="152"/>
      <c r="L98" s="151"/>
      <c r="M98" s="150"/>
      <c r="N98" s="153"/>
      <c r="O98" s="152"/>
      <c r="P98" s="152"/>
      <c r="Q98" s="152"/>
      <c r="R98" s="151"/>
      <c r="S98" s="150"/>
      <c r="T98" s="149"/>
      <c r="U98" s="148"/>
      <c r="V98" s="147"/>
      <c r="W98" s="148"/>
      <c r="X98" s="147"/>
      <c r="Y98" s="148"/>
      <c r="Z98" s="147"/>
      <c r="AA98" s="103"/>
      <c r="AB98" s="145"/>
      <c r="AC98" s="144"/>
      <c r="AD98" s="145"/>
      <c r="AE98" s="144"/>
      <c r="AF98" s="145"/>
      <c r="AG98" s="144"/>
      <c r="AH98" s="145"/>
      <c r="AI98" s="144"/>
      <c r="AJ98" s="146"/>
      <c r="AK98" s="146"/>
      <c r="AL98" s="145"/>
      <c r="AM98" s="144"/>
    </row>
    <row r="99" spans="2:39" outlineLevel="1" x14ac:dyDescent="0.3">
      <c r="C99" s="143"/>
      <c r="D99" s="116" t="s">
        <v>28</v>
      </c>
      <c r="E99" s="116">
        <v>8</v>
      </c>
      <c r="F99" s="115">
        <v>650</v>
      </c>
      <c r="G99" s="114">
        <f>[2]Тарифы!G79</f>
        <v>141</v>
      </c>
      <c r="H99" s="142">
        <f>[2]INFINITI!F56</f>
        <v>2039.36</v>
      </c>
      <c r="I99" s="112">
        <f>H99*0.307</f>
        <v>626.08351999999991</v>
      </c>
      <c r="J99" s="112">
        <f>[2]INFINITI!F61</f>
        <v>8992.8097165991894</v>
      </c>
      <c r="K99" s="112">
        <f>[2]INFINITI!F63</f>
        <v>292.4655870445344</v>
      </c>
      <c r="L99" s="140">
        <f>[2]INFINITI!F77</f>
        <v>1733.4559999999999</v>
      </c>
      <c r="M99" s="139">
        <f>SUM(H99:L99)</f>
        <v>13684.174823643725</v>
      </c>
      <c r="N99" s="141">
        <f>[2]INFINITI!F27</f>
        <v>142.74823028582674</v>
      </c>
      <c r="O99" s="112">
        <f>[2]INFINITI!F29</f>
        <v>1320</v>
      </c>
      <c r="P99" s="109">
        <f>([2]INFINITI!F40)*1.3</f>
        <v>7469.4750000000004</v>
      </c>
      <c r="Q99" s="109">
        <f>P99*0.04</f>
        <v>298.779</v>
      </c>
      <c r="R99" s="140">
        <f>[2]INFINITI!F53</f>
        <v>442.70242914979758</v>
      </c>
      <c r="S99" s="139">
        <f>SUM(N99:R99)</f>
        <v>9673.7046594356252</v>
      </c>
      <c r="T99" s="138">
        <f>M99+S99</f>
        <v>23357.879483079349</v>
      </c>
      <c r="U99" s="137">
        <f>((M99*$U$6)+M99)/E99</f>
        <v>1727.6270714850202</v>
      </c>
      <c r="V99" s="136">
        <f>((S99*$U$6)+S99)/F99</f>
        <v>15.031448778507665</v>
      </c>
      <c r="W99" s="137">
        <f>((M99*$W$6)+M99)/E99</f>
        <v>1796.047945603239</v>
      </c>
      <c r="X99" s="136">
        <f>((S99*$W$6)+S99)/F99</f>
        <v>15.626753680626777</v>
      </c>
      <c r="Y99" s="137">
        <f>((M99*$Y$6)+M99)/E99</f>
        <v>1881.5740382510121</v>
      </c>
      <c r="Z99" s="136">
        <f>((S99*$Y$6)+S99)/F99</f>
        <v>16.370884808275672</v>
      </c>
      <c r="AA99" s="103"/>
      <c r="AB99" s="102">
        <f>MROUND(U99,1)</f>
        <v>1728</v>
      </c>
      <c r="AC99" s="135">
        <f>ROUNDUP(V99,1)</f>
        <v>15.1</v>
      </c>
      <c r="AD99" s="102">
        <f>MROUND(W99,1)</f>
        <v>1796</v>
      </c>
      <c r="AE99" s="135">
        <f>ROUNDUP(X99,1)</f>
        <v>15.7</v>
      </c>
      <c r="AF99" s="102">
        <f>MROUND(Y99*0.87,1)</f>
        <v>1637</v>
      </c>
      <c r="AG99" s="135">
        <f>ROUNDUP(Z99*0.97,1)</f>
        <v>15.9</v>
      </c>
      <c r="AH99" s="102">
        <f>AF99*1.49</f>
        <v>2439.13</v>
      </c>
      <c r="AI99" s="135">
        <f>AG99*1.49</f>
        <v>23.690999999999999</v>
      </c>
      <c r="AJ99" s="134"/>
      <c r="AK99" s="134"/>
      <c r="AL99" s="133"/>
      <c r="AM99" s="132"/>
    </row>
    <row r="100" spans="2:39" outlineLevel="1" x14ac:dyDescent="0.3">
      <c r="C100" s="131" t="s">
        <v>128</v>
      </c>
      <c r="D100" s="130"/>
      <c r="E100" s="116"/>
      <c r="F100" s="115"/>
      <c r="G100" s="114"/>
      <c r="H100" s="129"/>
      <c r="I100" s="127"/>
      <c r="J100" s="127"/>
      <c r="K100" s="127"/>
      <c r="L100" s="126"/>
      <c r="M100" s="125"/>
      <c r="N100" s="128"/>
      <c r="O100" s="127"/>
      <c r="P100" s="127"/>
      <c r="Q100" s="127"/>
      <c r="R100" s="126"/>
      <c r="S100" s="125"/>
      <c r="T100" s="124"/>
      <c r="U100" s="123"/>
      <c r="V100" s="122"/>
      <c r="W100" s="123"/>
      <c r="X100" s="122"/>
      <c r="Y100" s="123"/>
      <c r="Z100" s="122"/>
      <c r="AA100" s="103"/>
      <c r="AB100" s="120"/>
      <c r="AC100" s="119"/>
      <c r="AD100" s="120"/>
      <c r="AE100" s="119"/>
      <c r="AF100" s="120"/>
      <c r="AG100" s="119"/>
      <c r="AH100" s="120"/>
      <c r="AI100" s="119"/>
      <c r="AJ100" s="121"/>
      <c r="AK100" s="121"/>
      <c r="AL100" s="120"/>
      <c r="AM100" s="119"/>
    </row>
    <row r="101" spans="2:39" ht="19.5" outlineLevel="1" thickBot="1" x14ac:dyDescent="0.35">
      <c r="C101" s="118">
        <v>3031</v>
      </c>
      <c r="D101" s="117" t="s">
        <v>128</v>
      </c>
      <c r="E101" s="116">
        <f>VLOOKUP(D101,'[3]Прайс 2022'!D$12:E$99,2,0)</f>
        <v>8</v>
      </c>
      <c r="F101" s="115">
        <f>VLOOKUP(D101,'[3]Прайс 2022'!D$12:G$99,3,0)</f>
        <v>650</v>
      </c>
      <c r="G101" s="114">
        <f>VLOOKUP(D101,'[3]Прайс 2022'!D$12:G$99,4,0)</f>
        <v>63.05</v>
      </c>
      <c r="H101" s="113">
        <f>[2]Алмера!$F56*1.05*1.2</f>
        <v>2646.58893975</v>
      </c>
      <c r="I101" s="112">
        <f>H101*0.307</f>
        <v>812.50280450324999</v>
      </c>
      <c r="J101" s="110">
        <f>[2]Алмера!$F61</f>
        <v>811.8242126683781</v>
      </c>
      <c r="K101" s="110">
        <f>[2]Алмера!$F63</f>
        <v>77.414032135464225</v>
      </c>
      <c r="L101" s="108">
        <f>[2]Алмера!$F77</f>
        <v>1785.3973006250001</v>
      </c>
      <c r="M101" s="107">
        <f>SUM(H101:L101)</f>
        <v>6133.7272896820923</v>
      </c>
      <c r="N101" s="111">
        <f>[2]Алмера!$F27</f>
        <v>0</v>
      </c>
      <c r="O101" s="110">
        <f>[2]Алмера!$F29</f>
        <v>157.62</v>
      </c>
      <c r="P101" s="109">
        <f>([2]Алмера!$F40)*1.3</f>
        <v>2051.3477796610173</v>
      </c>
      <c r="Q101" s="109">
        <f>P101*0.04</f>
        <v>82.053911186440686</v>
      </c>
      <c r="R101" s="108">
        <f>[2]Алмера!$F53</f>
        <v>90.119314325916548</v>
      </c>
      <c r="S101" s="107">
        <f>SUM(N101:R101)</f>
        <v>2381.1410051733742</v>
      </c>
      <c r="T101" s="106">
        <f>M101+S101</f>
        <v>8514.868294855467</v>
      </c>
      <c r="U101" s="105">
        <f>((M101*$U$6)+M101)/E101</f>
        <v>774.38307032236412</v>
      </c>
      <c r="V101" s="104">
        <f>((S101*$U$6)+S101)/F101</f>
        <v>3.6999267926540123</v>
      </c>
      <c r="W101" s="105">
        <f>((M101*$W$6)+M101)/E101</f>
        <v>805.05170677077467</v>
      </c>
      <c r="X101" s="104">
        <f>((S101*$W$6)+S101)/F101</f>
        <v>3.8464585468185275</v>
      </c>
      <c r="Y101" s="105">
        <f>((M101*$Y$6)+M101)/E101</f>
        <v>843.38750233128769</v>
      </c>
      <c r="Z101" s="104">
        <f>((S101*$Y$6)+S101)/F101</f>
        <v>4.0296232395241711</v>
      </c>
      <c r="AA101" s="103"/>
      <c r="AB101" s="100">
        <f>MROUND(U101,1)</f>
        <v>774</v>
      </c>
      <c r="AC101" s="99">
        <f>ROUNDUP(V101,1)</f>
        <v>3.7</v>
      </c>
      <c r="AD101" s="100">
        <f>MROUND(W101,1)</f>
        <v>805</v>
      </c>
      <c r="AE101" s="99">
        <f>ROUNDUP(X101,1)</f>
        <v>3.9</v>
      </c>
      <c r="AF101" s="100">
        <f>MROUND(Y101*0.88,1)</f>
        <v>742</v>
      </c>
      <c r="AG101" s="99">
        <f>ROUNDUP(Z101,1)</f>
        <v>4.0999999999999996</v>
      </c>
      <c r="AH101" s="102">
        <f>AL101*0.8</f>
        <v>671.2</v>
      </c>
      <c r="AI101" s="102">
        <f>AM101*0.8</f>
        <v>3.6</v>
      </c>
      <c r="AJ101" s="101">
        <f>AH101/AF101</f>
        <v>0.90458221024258767</v>
      </c>
      <c r="AK101" s="101">
        <f>AI101/AG101</f>
        <v>0.87804878048780499</v>
      </c>
      <c r="AL101" s="100">
        <v>839</v>
      </c>
      <c r="AM101" s="99">
        <v>4.5</v>
      </c>
    </row>
    <row r="102" spans="2:39" ht="19.5" thickBot="1" x14ac:dyDescent="0.35">
      <c r="E102" s="98"/>
      <c r="F102" s="98"/>
      <c r="G102" s="98"/>
      <c r="H102" s="96"/>
      <c r="I102" s="96"/>
      <c r="J102" s="96"/>
      <c r="K102" s="96"/>
      <c r="L102" s="96"/>
      <c r="M102" s="97"/>
      <c r="N102" s="96"/>
      <c r="O102" s="96"/>
      <c r="P102" s="96"/>
      <c r="Q102" s="96"/>
      <c r="S102" s="95"/>
      <c r="T102" s="94"/>
      <c r="U102" s="93"/>
      <c r="V102" s="92"/>
      <c r="Y102" s="93"/>
      <c r="Z102" s="92"/>
      <c r="AJ102" s="91">
        <f>AVERAGE(AJ13:AJ101)-1</f>
        <v>-1.1017981537714272E-2</v>
      </c>
      <c r="AK102" s="91">
        <f>AVERAGE(AK13:AK101)-1</f>
        <v>-1.1264451057624303E-4</v>
      </c>
    </row>
    <row r="103" spans="2:39" x14ac:dyDescent="0.3">
      <c r="AF103" s="80">
        <f>AF99*8+AG99*600</f>
        <v>22636</v>
      </c>
    </row>
    <row r="104" spans="2:39" s="85" customFormat="1" x14ac:dyDescent="0.3">
      <c r="B104" s="87"/>
      <c r="C104" s="88"/>
      <c r="D104" s="88"/>
      <c r="E104" s="88"/>
      <c r="F104" s="88"/>
      <c r="G104" s="88"/>
      <c r="H104" s="90"/>
      <c r="I104" s="90"/>
      <c r="J104" s="90"/>
      <c r="K104" s="90"/>
      <c r="L104" s="90"/>
      <c r="M104" s="89"/>
      <c r="N104" s="90"/>
      <c r="O104" s="90"/>
      <c r="P104" s="90"/>
      <c r="Q104" s="90"/>
      <c r="R104" s="90"/>
      <c r="S104" s="89"/>
      <c r="T104" s="89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</row>
    <row r="105" spans="2:39" ht="34.5" customHeight="1" x14ac:dyDescent="0.3"/>
    <row r="106" spans="2:39" s="85" customFormat="1" x14ac:dyDescent="0.3">
      <c r="B106" s="87"/>
    </row>
    <row r="107" spans="2:39" ht="41.25" customHeight="1" x14ac:dyDescent="0.3"/>
    <row r="108" spans="2:39" s="85" customFormat="1" x14ac:dyDescent="0.3">
      <c r="B108" s="87"/>
      <c r="H108" s="86"/>
      <c r="I108" s="86"/>
      <c r="J108" s="86"/>
      <c r="K108" s="86"/>
      <c r="L108" s="86"/>
      <c r="M108" s="81"/>
      <c r="N108" s="86"/>
      <c r="O108" s="86"/>
      <c r="P108" s="86"/>
      <c r="Q108" s="86"/>
      <c r="R108" s="86"/>
      <c r="S108" s="81"/>
      <c r="T108" s="81"/>
    </row>
  </sheetData>
  <autoFilter ref="A9:Z101">
    <filterColumn colId="4" showButton="0"/>
    <filterColumn colId="5" showButton="0"/>
    <filterColumn colId="7" showButton="0"/>
    <filterColumn colId="8" showButton="0"/>
    <filterColumn colId="9" showButton="0"/>
    <filterColumn colId="10" showButton="0"/>
    <filterColumn colId="11" showButton="0"/>
    <filterColumn colId="13" showButton="0"/>
    <filterColumn colId="14" showButton="0"/>
    <filterColumn colId="15" showButton="0"/>
    <filterColumn colId="16" showButton="0"/>
    <filterColumn colId="17" showButton="0"/>
    <filterColumn colId="20" showButton="0"/>
    <filterColumn colId="22" showButton="0"/>
    <filterColumn colId="24" showButton="0"/>
  </autoFilter>
  <mergeCells count="27">
    <mergeCell ref="V2:X2"/>
    <mergeCell ref="Y2:AA2"/>
    <mergeCell ref="S2:U2"/>
    <mergeCell ref="D2:F2"/>
    <mergeCell ref="G2:I2"/>
    <mergeCell ref="J2:L2"/>
    <mergeCell ref="T9:T10"/>
    <mergeCell ref="C9:C10"/>
    <mergeCell ref="D9:D10"/>
    <mergeCell ref="E9:G9"/>
    <mergeCell ref="D7:Z7"/>
    <mergeCell ref="M2:O2"/>
    <mergeCell ref="P2:R2"/>
    <mergeCell ref="AH9:AI9"/>
    <mergeCell ref="AJ9:AK9"/>
    <mergeCell ref="AL9:AM9"/>
    <mergeCell ref="U9:V9"/>
    <mergeCell ref="W9:X9"/>
    <mergeCell ref="Y9:Z9"/>
    <mergeCell ref="AB9:AC9"/>
    <mergeCell ref="AD9:AE9"/>
    <mergeCell ref="AF9:AG9"/>
    <mergeCell ref="AB2:AD2"/>
    <mergeCell ref="AE2:AG2"/>
    <mergeCell ref="C5:AG5"/>
    <mergeCell ref="H9:M9"/>
    <mergeCell ref="N9:S9"/>
  </mergeCells>
  <printOptions horizontalCentered="1"/>
  <pageMargins left="0.62992125984251968" right="0.31496062992125984" top="0.47244094488188981" bottom="0.19685039370078741" header="0.15748031496062992" footer="0.15748031496062992"/>
  <pageSetup paperSize="9" scale="10" fitToHeight="2" orientation="landscape" r:id="rId1"/>
  <rowBreaks count="1" manualBreakCount="1">
    <brk id="52" min="2" max="40" man="1"/>
  </rowBreaks>
  <colBreaks count="2" manualBreakCount="2">
    <brk id="3" min="4" max="103" man="1"/>
    <brk id="39" min="4" max="10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I108"/>
  <sheetViews>
    <sheetView tabSelected="1" view="pageBreakPreview" zoomScale="85" zoomScaleNormal="100" zoomScaleSheetLayoutView="85" workbookViewId="0">
      <selection activeCell="G7" sqref="G7"/>
    </sheetView>
  </sheetViews>
  <sheetFormatPr defaultRowHeight="12.75" x14ac:dyDescent="0.2"/>
  <cols>
    <col min="1" max="1" width="3.7109375" style="1" customWidth="1"/>
    <col min="2" max="2" width="7" style="1" customWidth="1"/>
    <col min="3" max="3" width="53.85546875" style="1" customWidth="1"/>
    <col min="4" max="4" width="21.28515625" style="1" customWidth="1"/>
    <col min="5" max="16384" width="9.140625" style="1"/>
  </cols>
  <sheetData>
    <row r="1" spans="1:4" ht="15.75" customHeight="1" x14ac:dyDescent="0.2">
      <c r="D1" s="2" t="s">
        <v>54</v>
      </c>
    </row>
    <row r="2" spans="1:4" ht="15.75" customHeight="1" x14ac:dyDescent="0.2">
      <c r="D2" s="2" t="s">
        <v>55</v>
      </c>
    </row>
    <row r="3" spans="1:4" ht="15.75" customHeight="1" x14ac:dyDescent="0.2">
      <c r="D3" s="2" t="s">
        <v>56</v>
      </c>
    </row>
    <row r="4" spans="1:4" ht="15.75" customHeight="1" x14ac:dyDescent="0.2">
      <c r="D4" s="2" t="s">
        <v>57</v>
      </c>
    </row>
    <row r="5" spans="1:4" ht="15.75" customHeight="1" x14ac:dyDescent="0.2">
      <c r="D5" s="2" t="s">
        <v>153</v>
      </c>
    </row>
    <row r="6" spans="1:4" ht="15.75" customHeight="1" x14ac:dyDescent="0.2">
      <c r="D6" s="2" t="s">
        <v>154</v>
      </c>
    </row>
    <row r="7" spans="1:4" ht="15.75" customHeight="1" x14ac:dyDescent="0.2"/>
    <row r="8" spans="1:4" ht="15.75" customHeight="1" x14ac:dyDescent="0.2"/>
    <row r="9" spans="1:4" ht="27" customHeight="1" x14ac:dyDescent="0.2">
      <c r="B9" s="277" t="s">
        <v>155</v>
      </c>
      <c r="C9" s="277"/>
      <c r="D9" s="277"/>
    </row>
    <row r="10" spans="1:4" ht="16.5" thickBot="1" x14ac:dyDescent="0.3">
      <c r="D10" s="244"/>
    </row>
    <row r="11" spans="1:4" ht="54" customHeight="1" thickBot="1" x14ac:dyDescent="0.25">
      <c r="B11" s="246" t="s">
        <v>58</v>
      </c>
      <c r="C11" s="247" t="s">
        <v>59</v>
      </c>
      <c r="D11" s="248" t="s">
        <v>488</v>
      </c>
    </row>
    <row r="12" spans="1:4" x14ac:dyDescent="0.2">
      <c r="B12" s="249"/>
      <c r="C12" s="262" t="s">
        <v>0</v>
      </c>
      <c r="D12" s="255"/>
    </row>
    <row r="13" spans="1:4" ht="14.25" customHeight="1" x14ac:dyDescent="0.2">
      <c r="B13" s="250"/>
      <c r="C13" s="263" t="s">
        <v>42</v>
      </c>
      <c r="D13" s="256"/>
    </row>
    <row r="14" spans="1:4" ht="15.75" customHeight="1" x14ac:dyDescent="0.2">
      <c r="A14" s="1">
        <v>1</v>
      </c>
      <c r="B14" s="251" t="s">
        <v>65</v>
      </c>
      <c r="C14" s="264" t="s">
        <v>66</v>
      </c>
      <c r="D14" s="257">
        <v>5999</v>
      </c>
    </row>
    <row r="15" spans="1:4" ht="15.75" customHeight="1" x14ac:dyDescent="0.2">
      <c r="A15" s="1">
        <v>2</v>
      </c>
      <c r="B15" s="252"/>
      <c r="C15" s="265" t="s">
        <v>67</v>
      </c>
      <c r="D15" s="258">
        <v>1900</v>
      </c>
    </row>
    <row r="16" spans="1:4" ht="15.75" customHeight="1" x14ac:dyDescent="0.2">
      <c r="A16" s="1">
        <v>3</v>
      </c>
      <c r="B16" s="252"/>
      <c r="C16" s="265" t="s">
        <v>68</v>
      </c>
      <c r="D16" s="257">
        <v>1700</v>
      </c>
    </row>
    <row r="17" spans="1:4" ht="15.75" customHeight="1" x14ac:dyDescent="0.2">
      <c r="A17" s="1">
        <v>4</v>
      </c>
      <c r="B17" s="252"/>
      <c r="C17" s="265" t="s">
        <v>211</v>
      </c>
      <c r="D17" s="258">
        <v>2100</v>
      </c>
    </row>
    <row r="18" spans="1:4" ht="15.75" customHeight="1" x14ac:dyDescent="0.2">
      <c r="A18" s="1">
        <v>5</v>
      </c>
      <c r="B18" s="252"/>
      <c r="C18" s="265" t="s">
        <v>207</v>
      </c>
      <c r="D18" s="258">
        <v>2300</v>
      </c>
    </row>
    <row r="19" spans="1:4" ht="15.75" customHeight="1" x14ac:dyDescent="0.2">
      <c r="A19" s="1">
        <v>6</v>
      </c>
      <c r="B19" s="252"/>
      <c r="C19" s="265" t="s">
        <v>4</v>
      </c>
      <c r="D19" s="258">
        <v>2800</v>
      </c>
    </row>
    <row r="20" spans="1:4" ht="15.75" customHeight="1" x14ac:dyDescent="0.2">
      <c r="A20" s="1">
        <v>7</v>
      </c>
      <c r="B20" s="252"/>
      <c r="C20" s="265" t="s">
        <v>71</v>
      </c>
      <c r="D20" s="258">
        <v>1600</v>
      </c>
    </row>
    <row r="21" spans="1:4" ht="15.75" customHeight="1" x14ac:dyDescent="0.2">
      <c r="A21" s="1">
        <v>8</v>
      </c>
      <c r="B21" s="252"/>
      <c r="C21" s="265" t="s">
        <v>3</v>
      </c>
      <c r="D21" s="258">
        <v>1800</v>
      </c>
    </row>
    <row r="22" spans="1:4" ht="15.75" customHeight="1" x14ac:dyDescent="0.2">
      <c r="A22" s="1">
        <v>9</v>
      </c>
      <c r="B22" s="252"/>
      <c r="C22" s="265" t="s">
        <v>72</v>
      </c>
      <c r="D22" s="258">
        <v>2400</v>
      </c>
    </row>
    <row r="23" spans="1:4" ht="15.75" customHeight="1" x14ac:dyDescent="0.2">
      <c r="A23" s="1">
        <v>10</v>
      </c>
      <c r="B23" s="252"/>
      <c r="C23" s="265" t="s">
        <v>1</v>
      </c>
      <c r="D23" s="258">
        <v>2600</v>
      </c>
    </row>
    <row r="24" spans="1:4" ht="15.75" customHeight="1" x14ac:dyDescent="0.2">
      <c r="A24" s="1">
        <v>11</v>
      </c>
      <c r="B24" s="250"/>
      <c r="C24" s="263" t="s">
        <v>43</v>
      </c>
      <c r="D24" s="259"/>
    </row>
    <row r="25" spans="1:4" ht="15.75" customHeight="1" x14ac:dyDescent="0.2">
      <c r="A25" s="1">
        <v>12</v>
      </c>
      <c r="B25" s="252" t="s">
        <v>74</v>
      </c>
      <c r="C25" s="265" t="s">
        <v>75</v>
      </c>
      <c r="D25" s="258">
        <v>1400</v>
      </c>
    </row>
    <row r="26" spans="1:4" ht="15.75" customHeight="1" x14ac:dyDescent="0.2">
      <c r="A26" s="1">
        <v>13</v>
      </c>
      <c r="B26" s="252"/>
      <c r="C26" s="265" t="s">
        <v>76</v>
      </c>
      <c r="D26" s="258">
        <v>1800</v>
      </c>
    </row>
    <row r="27" spans="1:4" ht="15.75" customHeight="1" x14ac:dyDescent="0.2">
      <c r="A27" s="1">
        <v>14</v>
      </c>
      <c r="B27" s="252"/>
      <c r="C27" s="265" t="s">
        <v>78</v>
      </c>
      <c r="D27" s="258">
        <v>1200</v>
      </c>
    </row>
    <row r="28" spans="1:4" ht="15.75" customHeight="1" x14ac:dyDescent="0.2">
      <c r="A28" s="1">
        <v>15</v>
      </c>
      <c r="B28" s="252"/>
      <c r="C28" s="265" t="s">
        <v>79</v>
      </c>
      <c r="D28" s="258">
        <v>840.45341280628656</v>
      </c>
    </row>
    <row r="29" spans="1:4" ht="15.75" customHeight="1" x14ac:dyDescent="0.2">
      <c r="A29" s="1">
        <v>16</v>
      </c>
      <c r="B29" s="252"/>
      <c r="C29" s="265" t="s">
        <v>80</v>
      </c>
      <c r="D29" s="258">
        <v>1300</v>
      </c>
    </row>
    <row r="30" spans="1:4" ht="15.75" customHeight="1" thickBot="1" x14ac:dyDescent="0.25">
      <c r="A30" s="1">
        <v>17</v>
      </c>
      <c r="B30" s="254"/>
      <c r="C30" s="267" t="s">
        <v>2</v>
      </c>
      <c r="D30" s="269">
        <v>1600</v>
      </c>
    </row>
    <row r="31" spans="1:4" ht="15.75" customHeight="1" x14ac:dyDescent="0.2">
      <c r="A31" s="1">
        <v>18</v>
      </c>
      <c r="B31" s="249"/>
      <c r="C31" s="268" t="s">
        <v>30</v>
      </c>
      <c r="D31" s="255"/>
    </row>
    <row r="32" spans="1:4" ht="15.75" customHeight="1" x14ac:dyDescent="0.2">
      <c r="A32" s="1">
        <v>19</v>
      </c>
      <c r="B32" s="250"/>
      <c r="C32" s="263" t="s">
        <v>44</v>
      </c>
      <c r="D32" s="260"/>
    </row>
    <row r="33" spans="1:4" ht="15.75" customHeight="1" x14ac:dyDescent="0.2">
      <c r="A33" s="1">
        <v>20</v>
      </c>
      <c r="B33" s="252" t="s">
        <v>81</v>
      </c>
      <c r="C33" s="265" t="s">
        <v>414</v>
      </c>
      <c r="D33" s="258">
        <v>2500</v>
      </c>
    </row>
    <row r="34" spans="1:4" ht="15.75" customHeight="1" x14ac:dyDescent="0.2">
      <c r="A34" s="1">
        <v>21</v>
      </c>
      <c r="B34" s="252"/>
      <c r="C34" s="273" t="s">
        <v>415</v>
      </c>
      <c r="D34" s="257">
        <v>3200</v>
      </c>
    </row>
    <row r="35" spans="1:4" ht="15.75" customHeight="1" x14ac:dyDescent="0.2">
      <c r="A35" s="1">
        <v>22</v>
      </c>
      <c r="B35" s="252"/>
      <c r="C35" s="273" t="s">
        <v>416</v>
      </c>
      <c r="D35" s="257">
        <v>3300</v>
      </c>
    </row>
    <row r="36" spans="1:4" ht="15.75" customHeight="1" x14ac:dyDescent="0.2">
      <c r="A36" s="1">
        <v>23</v>
      </c>
      <c r="B36" s="252"/>
      <c r="C36" s="273" t="s">
        <v>417</v>
      </c>
      <c r="D36" s="258">
        <v>3700</v>
      </c>
    </row>
    <row r="37" spans="1:4" ht="15.75" customHeight="1" x14ac:dyDescent="0.2">
      <c r="A37" s="1">
        <v>24</v>
      </c>
      <c r="B37" s="250"/>
      <c r="C37" s="263" t="s">
        <v>45</v>
      </c>
      <c r="D37" s="260"/>
    </row>
    <row r="38" spans="1:4" ht="15.75" customHeight="1" x14ac:dyDescent="0.2">
      <c r="A38" s="1">
        <v>25</v>
      </c>
      <c r="B38" s="274" t="s">
        <v>492</v>
      </c>
      <c r="C38" s="264" t="s">
        <v>86</v>
      </c>
      <c r="D38" s="257">
        <v>1800</v>
      </c>
    </row>
    <row r="39" spans="1:4" s="43" customFormat="1" ht="15.75" customHeight="1" x14ac:dyDescent="0.2">
      <c r="A39" s="1">
        <v>26</v>
      </c>
      <c r="B39" s="252"/>
      <c r="C39" s="265" t="s">
        <v>87</v>
      </c>
      <c r="D39" s="257">
        <v>2650</v>
      </c>
    </row>
    <row r="40" spans="1:4" ht="15.75" customHeight="1" x14ac:dyDescent="0.2">
      <c r="A40" s="1">
        <v>27</v>
      </c>
      <c r="B40" s="251"/>
      <c r="C40" s="264" t="s">
        <v>88</v>
      </c>
      <c r="D40" s="257">
        <v>3000</v>
      </c>
    </row>
    <row r="41" spans="1:4" s="43" customFormat="1" x14ac:dyDescent="0.2">
      <c r="A41" s="1">
        <v>28</v>
      </c>
      <c r="B41" s="252"/>
      <c r="C41" s="265" t="s">
        <v>89</v>
      </c>
      <c r="D41" s="258">
        <v>7900</v>
      </c>
    </row>
    <row r="42" spans="1:4" ht="15.75" customHeight="1" x14ac:dyDescent="0.2">
      <c r="A42" s="1">
        <v>29</v>
      </c>
      <c r="B42" s="252"/>
      <c r="C42" s="265" t="s">
        <v>90</v>
      </c>
      <c r="D42" s="258">
        <v>2500</v>
      </c>
    </row>
    <row r="43" spans="1:4" ht="15.75" customHeight="1" x14ac:dyDescent="0.2">
      <c r="A43" s="1">
        <v>30</v>
      </c>
      <c r="B43" s="251"/>
      <c r="C43" s="264" t="s">
        <v>91</v>
      </c>
      <c r="D43" s="257">
        <v>2200</v>
      </c>
    </row>
    <row r="44" spans="1:4" s="43" customFormat="1" ht="15.75" customHeight="1" x14ac:dyDescent="0.2">
      <c r="A44" s="1">
        <v>31</v>
      </c>
      <c r="B44" s="251"/>
      <c r="C44" s="264" t="s">
        <v>92</v>
      </c>
      <c r="D44" s="257">
        <v>2000</v>
      </c>
    </row>
    <row r="45" spans="1:4" s="43" customFormat="1" ht="15.75" customHeight="1" thickBot="1" x14ac:dyDescent="0.25">
      <c r="A45" s="1">
        <v>32</v>
      </c>
      <c r="B45" s="275"/>
      <c r="C45" s="276" t="s">
        <v>12</v>
      </c>
      <c r="D45" s="261">
        <v>2700</v>
      </c>
    </row>
    <row r="46" spans="1:4" s="43" customFormat="1" ht="15.75" customHeight="1" x14ac:dyDescent="0.2">
      <c r="A46" s="1">
        <v>33</v>
      </c>
      <c r="B46" s="270"/>
      <c r="C46" s="271" t="s">
        <v>46</v>
      </c>
      <c r="D46" s="272"/>
    </row>
    <row r="47" spans="1:4" ht="15.75" customHeight="1" x14ac:dyDescent="0.2">
      <c r="A47" s="1">
        <v>34</v>
      </c>
      <c r="B47" s="252" t="s">
        <v>93</v>
      </c>
      <c r="C47" s="265" t="s">
        <v>94</v>
      </c>
      <c r="D47" s="258">
        <v>1300</v>
      </c>
    </row>
    <row r="48" spans="1:4" ht="15.75" customHeight="1" x14ac:dyDescent="0.2">
      <c r="A48" s="1">
        <v>35</v>
      </c>
      <c r="B48" s="252"/>
      <c r="C48" s="265" t="s">
        <v>95</v>
      </c>
      <c r="D48" s="257">
        <v>1200</v>
      </c>
    </row>
    <row r="49" spans="1:4" ht="15.75" customHeight="1" x14ac:dyDescent="0.2">
      <c r="A49" s="1">
        <v>36</v>
      </c>
      <c r="B49" s="251"/>
      <c r="C49" s="264" t="s">
        <v>96</v>
      </c>
      <c r="D49" s="257">
        <v>1600</v>
      </c>
    </row>
    <row r="50" spans="1:4" s="43" customFormat="1" ht="15.75" customHeight="1" x14ac:dyDescent="0.2">
      <c r="A50" s="1">
        <v>37</v>
      </c>
      <c r="B50" s="251"/>
      <c r="C50" s="264" t="s">
        <v>35</v>
      </c>
      <c r="D50" s="257">
        <v>1300</v>
      </c>
    </row>
    <row r="51" spans="1:4" s="43" customFormat="1" ht="15.75" customHeight="1" x14ac:dyDescent="0.2">
      <c r="A51" s="1">
        <v>38</v>
      </c>
      <c r="B51" s="251"/>
      <c r="C51" s="264" t="s">
        <v>33</v>
      </c>
      <c r="D51" s="257">
        <v>1300</v>
      </c>
    </row>
    <row r="52" spans="1:4" s="43" customFormat="1" ht="15.75" customHeight="1" x14ac:dyDescent="0.2">
      <c r="A52" s="1">
        <v>39</v>
      </c>
      <c r="B52" s="251"/>
      <c r="C52" s="264" t="s">
        <v>34</v>
      </c>
      <c r="D52" s="257">
        <v>1500</v>
      </c>
    </row>
    <row r="53" spans="1:4" s="43" customFormat="1" ht="15.75" customHeight="1" x14ac:dyDescent="0.2">
      <c r="A53" s="1">
        <v>40</v>
      </c>
      <c r="B53" s="251"/>
      <c r="C53" s="264" t="s">
        <v>97</v>
      </c>
      <c r="D53" s="257">
        <v>3250</v>
      </c>
    </row>
    <row r="54" spans="1:4" s="43" customFormat="1" ht="15.75" customHeight="1" x14ac:dyDescent="0.2">
      <c r="A54" s="1">
        <v>41</v>
      </c>
      <c r="B54" s="251"/>
      <c r="C54" s="264" t="s">
        <v>98</v>
      </c>
      <c r="D54" s="257">
        <v>1450</v>
      </c>
    </row>
    <row r="55" spans="1:4" s="43" customFormat="1" ht="15.75" customHeight="1" x14ac:dyDescent="0.2">
      <c r="A55" s="1">
        <v>42</v>
      </c>
      <c r="B55" s="251"/>
      <c r="C55" s="264" t="s">
        <v>99</v>
      </c>
      <c r="D55" s="257">
        <v>2750</v>
      </c>
    </row>
    <row r="56" spans="1:4" s="43" customFormat="1" ht="15.75" customHeight="1" x14ac:dyDescent="0.2">
      <c r="A56" s="1">
        <v>43</v>
      </c>
      <c r="B56" s="251"/>
      <c r="C56" s="264" t="s">
        <v>100</v>
      </c>
      <c r="D56" s="257">
        <v>2300</v>
      </c>
    </row>
    <row r="57" spans="1:4" s="43" customFormat="1" ht="26.25" customHeight="1" x14ac:dyDescent="0.2">
      <c r="A57" s="1">
        <v>44</v>
      </c>
      <c r="B57" s="251"/>
      <c r="C57" s="264" t="s">
        <v>101</v>
      </c>
      <c r="D57" s="257">
        <v>2750</v>
      </c>
    </row>
    <row r="58" spans="1:4" s="43" customFormat="1" ht="15.75" customHeight="1" x14ac:dyDescent="0.2">
      <c r="A58" s="1">
        <v>45</v>
      </c>
      <c r="B58" s="251"/>
      <c r="C58" s="264" t="s">
        <v>102</v>
      </c>
      <c r="D58" s="257">
        <v>2750</v>
      </c>
    </row>
    <row r="59" spans="1:4" s="43" customFormat="1" ht="15.75" customHeight="1" x14ac:dyDescent="0.2">
      <c r="A59" s="1">
        <v>46</v>
      </c>
      <c r="B59" s="301"/>
      <c r="C59" s="264" t="s">
        <v>103</v>
      </c>
      <c r="D59" s="257">
        <v>2750</v>
      </c>
    </row>
    <row r="60" spans="1:4" s="43" customFormat="1" ht="26.25" customHeight="1" x14ac:dyDescent="0.2">
      <c r="A60" s="1">
        <v>47</v>
      </c>
      <c r="B60" s="301"/>
      <c r="C60" s="264" t="s">
        <v>104</v>
      </c>
      <c r="D60" s="257">
        <v>400</v>
      </c>
    </row>
    <row r="61" spans="1:4" s="43" customFormat="1" ht="15.75" customHeight="1" x14ac:dyDescent="0.2">
      <c r="A61" s="1">
        <v>48</v>
      </c>
      <c r="B61" s="301"/>
      <c r="C61" s="264" t="s">
        <v>105</v>
      </c>
      <c r="D61" s="257">
        <v>600</v>
      </c>
    </row>
    <row r="62" spans="1:4" s="43" customFormat="1" ht="15.75" customHeight="1" x14ac:dyDescent="0.2">
      <c r="A62" s="1">
        <v>49</v>
      </c>
      <c r="B62" s="301"/>
      <c r="C62" s="264" t="s">
        <v>106</v>
      </c>
      <c r="D62" s="257">
        <v>750</v>
      </c>
    </row>
    <row r="63" spans="1:4" s="43" customFormat="1" ht="15.75" customHeight="1" x14ac:dyDescent="0.2">
      <c r="A63" s="1">
        <v>50</v>
      </c>
      <c r="B63" s="252"/>
      <c r="C63" s="265" t="s">
        <v>107</v>
      </c>
      <c r="D63" s="258">
        <v>3900</v>
      </c>
    </row>
    <row r="64" spans="1:4" ht="15.75" customHeight="1" x14ac:dyDescent="0.2">
      <c r="A64" s="1">
        <v>51</v>
      </c>
      <c r="B64" s="252"/>
      <c r="C64" s="265" t="s">
        <v>31</v>
      </c>
      <c r="D64" s="258">
        <v>1700</v>
      </c>
    </row>
    <row r="65" spans="1:4" ht="15.75" customHeight="1" x14ac:dyDescent="0.2">
      <c r="A65" s="1">
        <v>52</v>
      </c>
      <c r="B65" s="252"/>
      <c r="C65" s="265" t="s">
        <v>11</v>
      </c>
      <c r="D65" s="258">
        <v>4000</v>
      </c>
    </row>
    <row r="66" spans="1:4" ht="15.75" customHeight="1" thickBot="1" x14ac:dyDescent="0.25">
      <c r="A66" s="1">
        <v>53</v>
      </c>
      <c r="B66" s="254"/>
      <c r="C66" s="267" t="s">
        <v>108</v>
      </c>
      <c r="D66" s="261">
        <v>1200</v>
      </c>
    </row>
    <row r="67" spans="1:4" ht="15.75" customHeight="1" x14ac:dyDescent="0.2">
      <c r="A67" s="1">
        <v>54</v>
      </c>
      <c r="B67" s="249"/>
      <c r="C67" s="268" t="s">
        <v>109</v>
      </c>
      <c r="D67" s="255"/>
    </row>
    <row r="68" spans="1:4" ht="15.75" customHeight="1" x14ac:dyDescent="0.2">
      <c r="A68" s="1">
        <v>55</v>
      </c>
      <c r="B68" s="250"/>
      <c r="C68" s="263" t="s">
        <v>419</v>
      </c>
      <c r="D68" s="260"/>
    </row>
    <row r="69" spans="1:4" x14ac:dyDescent="0.2">
      <c r="A69" s="1">
        <v>56</v>
      </c>
      <c r="B69" s="252" t="s">
        <v>493</v>
      </c>
      <c r="C69" s="265" t="s">
        <v>418</v>
      </c>
      <c r="D69" s="258">
        <v>800</v>
      </c>
    </row>
    <row r="70" spans="1:4" x14ac:dyDescent="0.2">
      <c r="A70" s="1">
        <v>57</v>
      </c>
      <c r="B70" s="252"/>
      <c r="C70" s="265" t="s">
        <v>112</v>
      </c>
      <c r="D70" s="258">
        <v>879.54539148107244</v>
      </c>
    </row>
    <row r="71" spans="1:4" ht="15.75" customHeight="1" x14ac:dyDescent="0.2">
      <c r="A71" s="1">
        <v>58</v>
      </c>
      <c r="B71" s="250"/>
      <c r="C71" s="263" t="s">
        <v>49</v>
      </c>
      <c r="D71" s="260"/>
    </row>
    <row r="72" spans="1:4" ht="15.75" customHeight="1" x14ac:dyDescent="0.2">
      <c r="A72" s="1">
        <v>59</v>
      </c>
      <c r="B72" s="251" t="s">
        <v>110</v>
      </c>
      <c r="C72" s="266" t="s">
        <v>5</v>
      </c>
      <c r="D72" s="257">
        <v>1200</v>
      </c>
    </row>
    <row r="73" spans="1:4" s="43" customFormat="1" ht="15.75" customHeight="1" x14ac:dyDescent="0.2">
      <c r="A73" s="1">
        <v>60</v>
      </c>
      <c r="B73" s="251"/>
      <c r="C73" s="264" t="s">
        <v>421</v>
      </c>
      <c r="D73" s="257">
        <v>1200</v>
      </c>
    </row>
    <row r="74" spans="1:4" s="43" customFormat="1" ht="15.75" customHeight="1" x14ac:dyDescent="0.2">
      <c r="A74" s="1">
        <v>61</v>
      </c>
      <c r="B74" s="251"/>
      <c r="C74" s="264" t="s">
        <v>114</v>
      </c>
      <c r="D74" s="257">
        <v>1200</v>
      </c>
    </row>
    <row r="75" spans="1:4" s="43" customFormat="1" ht="15.75" customHeight="1" x14ac:dyDescent="0.2">
      <c r="A75" s="1">
        <v>62</v>
      </c>
      <c r="B75" s="251"/>
      <c r="C75" s="264" t="s">
        <v>9</v>
      </c>
      <c r="D75" s="257">
        <v>1500</v>
      </c>
    </row>
    <row r="76" spans="1:4" s="43" customFormat="1" ht="15.75" customHeight="1" x14ac:dyDescent="0.2">
      <c r="A76" s="1">
        <v>63</v>
      </c>
      <c r="B76" s="251"/>
      <c r="C76" s="264" t="s">
        <v>13</v>
      </c>
      <c r="D76" s="257">
        <v>1200</v>
      </c>
    </row>
    <row r="77" spans="1:4" s="43" customFormat="1" ht="15.75" customHeight="1" x14ac:dyDescent="0.2">
      <c r="A77" s="1">
        <v>64</v>
      </c>
      <c r="B77" s="250"/>
      <c r="C77" s="263" t="s">
        <v>50</v>
      </c>
      <c r="D77" s="260"/>
    </row>
    <row r="78" spans="1:4" ht="15.75" customHeight="1" x14ac:dyDescent="0.2">
      <c r="A78" s="1">
        <v>65</v>
      </c>
      <c r="B78" s="252" t="s">
        <v>494</v>
      </c>
      <c r="C78" s="265" t="s">
        <v>423</v>
      </c>
      <c r="D78" s="257">
        <v>1900</v>
      </c>
    </row>
    <row r="79" spans="1:4" ht="15.75" customHeight="1" x14ac:dyDescent="0.2">
      <c r="A79" s="1">
        <v>66</v>
      </c>
      <c r="B79" s="252"/>
      <c r="C79" s="265" t="s">
        <v>117</v>
      </c>
      <c r="D79" s="257">
        <v>1900</v>
      </c>
    </row>
    <row r="80" spans="1:4" ht="15.75" customHeight="1" x14ac:dyDescent="0.2">
      <c r="A80" s="1">
        <v>67</v>
      </c>
      <c r="B80" s="252"/>
      <c r="C80" s="265" t="s">
        <v>118</v>
      </c>
      <c r="D80" s="258">
        <v>1900</v>
      </c>
    </row>
    <row r="81" spans="1:4" ht="15.75" customHeight="1" x14ac:dyDescent="0.2">
      <c r="A81" s="1">
        <v>68</v>
      </c>
      <c r="B81" s="252"/>
      <c r="C81" s="265" t="s">
        <v>327</v>
      </c>
      <c r="D81" s="258">
        <v>1900</v>
      </c>
    </row>
    <row r="82" spans="1:4" ht="15.75" customHeight="1" x14ac:dyDescent="0.2">
      <c r="A82" s="1">
        <v>69</v>
      </c>
      <c r="B82" s="252"/>
      <c r="C82" s="265" t="s">
        <v>422</v>
      </c>
      <c r="D82" s="258">
        <v>1900</v>
      </c>
    </row>
    <row r="83" spans="1:4" ht="15.75" customHeight="1" x14ac:dyDescent="0.2">
      <c r="A83" s="1">
        <v>70</v>
      </c>
      <c r="B83" s="252"/>
      <c r="C83" s="265" t="s">
        <v>10</v>
      </c>
      <c r="D83" s="258">
        <v>1900</v>
      </c>
    </row>
    <row r="84" spans="1:4" ht="15.75" customHeight="1" x14ac:dyDescent="0.2">
      <c r="A84" s="1">
        <v>71</v>
      </c>
      <c r="B84" s="250"/>
      <c r="C84" s="263" t="s">
        <v>51</v>
      </c>
      <c r="D84" s="260"/>
    </row>
    <row r="85" spans="1:4" ht="15.75" customHeight="1" x14ac:dyDescent="0.2">
      <c r="A85" s="1">
        <v>72</v>
      </c>
      <c r="B85" s="252" t="s">
        <v>113</v>
      </c>
      <c r="C85" s="265" t="s">
        <v>424</v>
      </c>
      <c r="D85" s="258">
        <v>2200</v>
      </c>
    </row>
    <row r="86" spans="1:4" ht="15.75" customHeight="1" x14ac:dyDescent="0.2">
      <c r="A86" s="1">
        <v>73</v>
      </c>
      <c r="B86" s="252"/>
      <c r="C86" s="265" t="s">
        <v>425</v>
      </c>
      <c r="D86" s="257">
        <v>2200</v>
      </c>
    </row>
    <row r="87" spans="1:4" ht="15.75" customHeight="1" x14ac:dyDescent="0.2">
      <c r="A87" s="1">
        <v>74</v>
      </c>
      <c r="B87" s="252"/>
      <c r="C87" s="265" t="s">
        <v>8</v>
      </c>
      <c r="D87" s="258">
        <v>2200</v>
      </c>
    </row>
    <row r="88" spans="1:4" ht="15.75" customHeight="1" thickBot="1" x14ac:dyDescent="0.25">
      <c r="A88" s="1">
        <v>75</v>
      </c>
      <c r="B88" s="254"/>
      <c r="C88" s="267" t="s">
        <v>7</v>
      </c>
      <c r="D88" s="269">
        <v>2200</v>
      </c>
    </row>
    <row r="89" spans="1:4" ht="15.75" customHeight="1" x14ac:dyDescent="0.2">
      <c r="A89" s="1">
        <v>76</v>
      </c>
      <c r="B89" s="270"/>
      <c r="C89" s="271" t="s">
        <v>52</v>
      </c>
      <c r="D89" s="272"/>
    </row>
    <row r="90" spans="1:4" ht="15.75" customHeight="1" x14ac:dyDescent="0.2">
      <c r="A90" s="1">
        <v>77</v>
      </c>
      <c r="B90" s="252" t="s">
        <v>115</v>
      </c>
      <c r="C90" s="265" t="s">
        <v>125</v>
      </c>
      <c r="D90" s="258">
        <v>1400</v>
      </c>
    </row>
    <row r="91" spans="1:4" ht="15.75" customHeight="1" x14ac:dyDescent="0.2">
      <c r="A91" s="1">
        <v>78</v>
      </c>
      <c r="B91" s="252"/>
      <c r="C91" s="264" t="s">
        <v>126</v>
      </c>
      <c r="D91" s="258">
        <v>1400</v>
      </c>
    </row>
    <row r="92" spans="1:4" ht="15.75" customHeight="1" x14ac:dyDescent="0.2">
      <c r="A92" s="1">
        <v>79</v>
      </c>
      <c r="B92" s="252"/>
      <c r="C92" s="265" t="s">
        <v>27</v>
      </c>
      <c r="D92" s="258">
        <v>950</v>
      </c>
    </row>
    <row r="93" spans="1:4" ht="15.75" customHeight="1" x14ac:dyDescent="0.2">
      <c r="A93" s="1">
        <v>80</v>
      </c>
      <c r="B93" s="252"/>
      <c r="C93" s="265" t="s">
        <v>127</v>
      </c>
      <c r="D93" s="258">
        <v>900</v>
      </c>
    </row>
    <row r="94" spans="1:4" ht="15.75" customHeight="1" x14ac:dyDescent="0.2">
      <c r="B94" s="252"/>
      <c r="C94" s="265" t="s">
        <v>490</v>
      </c>
      <c r="D94" s="258">
        <v>900</v>
      </c>
    </row>
    <row r="95" spans="1:4" ht="15.75" customHeight="1" x14ac:dyDescent="0.2">
      <c r="A95" s="1">
        <v>81</v>
      </c>
      <c r="B95" s="252"/>
      <c r="C95" s="265" t="s">
        <v>128</v>
      </c>
      <c r="D95" s="257">
        <v>950</v>
      </c>
    </row>
    <row r="96" spans="1:4" ht="15.75" customHeight="1" x14ac:dyDescent="0.2">
      <c r="A96" s="1">
        <v>82</v>
      </c>
      <c r="B96" s="252"/>
      <c r="C96" s="265" t="s">
        <v>129</v>
      </c>
      <c r="D96" s="257">
        <v>1300</v>
      </c>
    </row>
    <row r="97" spans="1:9" ht="15.75" customHeight="1" x14ac:dyDescent="0.2">
      <c r="A97" s="1">
        <v>83</v>
      </c>
      <c r="B97" s="252"/>
      <c r="C97" s="265" t="s">
        <v>29</v>
      </c>
      <c r="D97" s="257">
        <v>1200</v>
      </c>
    </row>
    <row r="98" spans="1:9" ht="15.75" customHeight="1" x14ac:dyDescent="0.2">
      <c r="A98" s="1">
        <v>84</v>
      </c>
      <c r="B98" s="252"/>
      <c r="C98" s="265" t="s">
        <v>146</v>
      </c>
      <c r="D98" s="257">
        <v>1200</v>
      </c>
    </row>
    <row r="99" spans="1:9" ht="15.75" customHeight="1" x14ac:dyDescent="0.2">
      <c r="A99" s="1">
        <v>85</v>
      </c>
      <c r="B99" s="250"/>
      <c r="C99" s="263" t="s">
        <v>130</v>
      </c>
      <c r="D99" s="260"/>
    </row>
    <row r="100" spans="1:9" ht="15.75" customHeight="1" x14ac:dyDescent="0.2">
      <c r="A100" s="1">
        <v>86</v>
      </c>
      <c r="B100" s="274" t="s">
        <v>495</v>
      </c>
      <c r="C100" s="264" t="s">
        <v>426</v>
      </c>
      <c r="D100" s="257">
        <v>8100</v>
      </c>
      <c r="G100" s="43"/>
      <c r="H100" s="43"/>
      <c r="I100" s="43"/>
    </row>
    <row r="101" spans="1:9" s="43" customFormat="1" ht="15.75" customHeight="1" x14ac:dyDescent="0.2">
      <c r="A101" s="1">
        <v>87</v>
      </c>
      <c r="B101" s="253"/>
      <c r="C101" s="264" t="s">
        <v>427</v>
      </c>
      <c r="D101" s="257">
        <v>6300</v>
      </c>
    </row>
    <row r="102" spans="1:9" s="43" customFormat="1" ht="15.75" customHeight="1" x14ac:dyDescent="0.2">
      <c r="A102" s="1">
        <v>88</v>
      </c>
      <c r="B102" s="251"/>
      <c r="C102" s="264" t="s">
        <v>428</v>
      </c>
      <c r="D102" s="257">
        <v>5600</v>
      </c>
      <c r="G102" s="1"/>
      <c r="H102" s="1"/>
      <c r="I102" s="1"/>
    </row>
    <row r="103" spans="1:9" ht="15.75" customHeight="1" x14ac:dyDescent="0.2">
      <c r="A103" s="1">
        <v>89</v>
      </c>
      <c r="B103" s="250"/>
      <c r="C103" s="263" t="s">
        <v>53</v>
      </c>
      <c r="D103" s="260"/>
    </row>
    <row r="104" spans="1:9" ht="15.75" customHeight="1" thickBot="1" x14ac:dyDescent="0.25">
      <c r="A104" s="1">
        <v>90</v>
      </c>
      <c r="B104" s="254" t="s">
        <v>124</v>
      </c>
      <c r="C104" s="267" t="s">
        <v>137</v>
      </c>
      <c r="D104" s="261">
        <v>1000</v>
      </c>
    </row>
    <row r="105" spans="1:9" ht="15.75" customHeight="1" x14ac:dyDescent="0.2"/>
    <row r="106" spans="1:9" ht="15.75" customHeight="1" x14ac:dyDescent="0.2">
      <c r="B106" s="1" t="s">
        <v>489</v>
      </c>
      <c r="D106" s="245" t="s">
        <v>491</v>
      </c>
    </row>
    <row r="107" spans="1:9" ht="16.5" customHeight="1" x14ac:dyDescent="0.2">
      <c r="D107" s="245"/>
    </row>
    <row r="108" spans="1:9" ht="25.5" customHeight="1" x14ac:dyDescent="0.2"/>
  </sheetData>
  <autoFilter ref="B11:D105"/>
  <mergeCells count="2">
    <mergeCell ref="B9:D9"/>
    <mergeCell ref="B59:B62"/>
  </mergeCells>
  <pageMargins left="0.7" right="0.7" top="0.75" bottom="0.75" header="0.3" footer="0.3"/>
  <pageSetup paperSize="9" fitToHeight="0" orientation="portrait" r:id="rId1"/>
  <rowBreaks count="2" manualBreakCount="2">
    <brk id="45" min="1" max="3" man="1"/>
    <brk id="88" min="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5</vt:i4>
      </vt:variant>
    </vt:vector>
  </HeadingPairs>
  <TitlesOfParts>
    <vt:vector size="9" baseType="lpstr">
      <vt:lpstr>ИТОГ</vt:lpstr>
      <vt:lpstr>Лист1</vt:lpstr>
      <vt:lpstr>Прайс 2022 (ЦПЗ) (2)</vt:lpstr>
      <vt:lpstr>ИТОГ ПЕЧАТЬ</vt:lpstr>
      <vt:lpstr>ИТОГ!Заголовки_для_печати</vt:lpstr>
      <vt:lpstr>'ИТОГ ПЕЧАТЬ'!Заголовки_для_печати</vt:lpstr>
      <vt:lpstr>'Прайс 2022 (ЦПЗ) (2)'!Заголовки_для_печати</vt:lpstr>
      <vt:lpstr>'ИТОГ ПЕЧАТЬ'!Область_печати</vt:lpstr>
      <vt:lpstr>'Прайс 2022 (ЦПЗ) (2)'!Область_печати</vt:lpstr>
    </vt:vector>
  </TitlesOfParts>
  <Company>JSC Azot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Ткачев Виктор Николаевич</dc:creator>
  <cp:lastModifiedBy>Буряк Дмитрий Эдуардович</cp:lastModifiedBy>
  <cp:lastPrinted>2023-03-26T07:01:45Z</cp:lastPrinted>
  <dcterms:created xsi:type="dcterms:W3CDTF">2023-01-13T07:37:40Z</dcterms:created>
  <dcterms:modified xsi:type="dcterms:W3CDTF">2023-03-31T02:08:41Z</dcterms:modified>
</cp:coreProperties>
</file>